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4"/>
  </bookViews>
  <sheets>
    <sheet name="RASHODI 2021" sheetId="1" r:id="rId1"/>
    <sheet name="PRIHODI 2021" sheetId="2" r:id="rId2"/>
    <sheet name="OPĆI DIO 2021" sheetId="4" r:id="rId3"/>
    <sheet name="PRIHODI I RASHODI PREMA EK.2021" sheetId="5" r:id="rId4"/>
    <sheet name="IZVJEŠTAJ 2021" sheetId="3" r:id="rId5"/>
  </sheets>
  <calcPr calcId="145621"/>
</workbook>
</file>

<file path=xl/calcChain.xml><?xml version="1.0" encoding="utf-8"?>
<calcChain xmlns="http://schemas.openxmlformats.org/spreadsheetml/2006/main">
  <c r="E6" i="5" l="1"/>
  <c r="E5" i="5" s="1"/>
  <c r="E28" i="4"/>
  <c r="E27" i="4"/>
  <c r="F14" i="5"/>
  <c r="E11" i="5"/>
  <c r="F11" i="5" s="1"/>
  <c r="E9" i="5"/>
  <c r="F9" i="5" s="1"/>
  <c r="E34" i="5"/>
  <c r="E33" i="5" s="1"/>
  <c r="F33" i="5" s="1"/>
  <c r="E22" i="5"/>
  <c r="E40" i="5"/>
  <c r="F40" i="5" s="1"/>
  <c r="E39" i="5"/>
  <c r="E37" i="5"/>
  <c r="F37" i="5" s="1"/>
  <c r="E32" i="5"/>
  <c r="F31" i="5"/>
  <c r="E31" i="5"/>
  <c r="E25" i="5"/>
  <c r="E30" i="5"/>
  <c r="F30" i="5" s="1"/>
  <c r="E29" i="5"/>
  <c r="F29" i="5" s="1"/>
  <c r="E28" i="5"/>
  <c r="E27" i="5"/>
  <c r="F27" i="5" s="1"/>
  <c r="E26" i="5"/>
  <c r="F26" i="5" s="1"/>
  <c r="E21" i="5"/>
  <c r="F21" i="5" s="1"/>
  <c r="E24" i="5"/>
  <c r="F24" i="5" s="1"/>
  <c r="E23" i="5"/>
  <c r="F22" i="5"/>
  <c r="F32" i="5"/>
  <c r="F28" i="5"/>
  <c r="F23" i="5"/>
  <c r="F15" i="5"/>
  <c r="F13" i="5"/>
  <c r="F10" i="5"/>
  <c r="F8" i="5"/>
  <c r="F7" i="5"/>
  <c r="C40" i="5"/>
  <c r="C39" i="5"/>
  <c r="C38" i="5" s="1"/>
  <c r="C35" i="5" s="1"/>
  <c r="C34" i="5"/>
  <c r="C33" i="5" s="1"/>
  <c r="C32" i="5"/>
  <c r="C31" i="5"/>
  <c r="C30" i="5"/>
  <c r="C29" i="5"/>
  <c r="C28" i="5"/>
  <c r="C27" i="5"/>
  <c r="C26" i="5"/>
  <c r="C25" i="5" s="1"/>
  <c r="C24" i="5"/>
  <c r="C23" i="5"/>
  <c r="C22" i="5"/>
  <c r="C21" i="5" s="1"/>
  <c r="C15" i="5"/>
  <c r="C14" i="5"/>
  <c r="C13" i="5"/>
  <c r="C11" i="5"/>
  <c r="C10" i="5"/>
  <c r="C9" i="5"/>
  <c r="C7" i="5"/>
  <c r="C6" i="5"/>
  <c r="C5" i="5"/>
  <c r="C4" i="5"/>
  <c r="D40" i="5"/>
  <c r="D39" i="5"/>
  <c r="D34" i="5"/>
  <c r="D32" i="5"/>
  <c r="D31" i="5"/>
  <c r="D30" i="5"/>
  <c r="D29" i="5"/>
  <c r="D28" i="5"/>
  <c r="D27" i="5"/>
  <c r="D26" i="5"/>
  <c r="D24" i="5"/>
  <c r="D23" i="5"/>
  <c r="D22" i="5"/>
  <c r="D15" i="5"/>
  <c r="E14" i="5" s="1"/>
  <c r="D13" i="5"/>
  <c r="D10" i="5"/>
  <c r="D9" i="5" s="1"/>
  <c r="D7" i="5"/>
  <c r="D6" i="5"/>
  <c r="F5" i="5" l="1"/>
  <c r="E4" i="5"/>
  <c r="F6" i="5"/>
  <c r="F34" i="5"/>
  <c r="E20" i="5"/>
  <c r="F20" i="5" s="1"/>
  <c r="E38" i="5"/>
  <c r="F38" i="5" s="1"/>
  <c r="F39" i="5"/>
  <c r="E36" i="5"/>
  <c r="F36" i="5" s="1"/>
  <c r="F25" i="5"/>
  <c r="C20" i="5"/>
  <c r="C19" i="5" s="1"/>
  <c r="D5" i="5"/>
  <c r="D11" i="5"/>
  <c r="D14" i="5"/>
  <c r="D38" i="5"/>
  <c r="D21" i="5"/>
  <c r="D25" i="5"/>
  <c r="D33" i="5"/>
  <c r="E35" i="5" l="1"/>
  <c r="F35" i="5" s="1"/>
  <c r="E19" i="5"/>
  <c r="F19" i="5" s="1"/>
  <c r="D20" i="5"/>
  <c r="D35" i="5"/>
  <c r="D4" i="5"/>
  <c r="D19" i="5" l="1"/>
  <c r="E13" i="3" l="1"/>
  <c r="D22" i="3"/>
  <c r="D13" i="3"/>
  <c r="E21" i="3"/>
  <c r="F28" i="4"/>
  <c r="F27" i="4"/>
  <c r="F12" i="4" s="1"/>
  <c r="E29" i="4"/>
  <c r="E22" i="4"/>
  <c r="E23" i="4" s="1"/>
  <c r="F21" i="4"/>
  <c r="D28" i="4"/>
  <c r="D27" i="4"/>
  <c r="C28" i="4"/>
  <c r="C27" i="4"/>
  <c r="D22" i="4"/>
  <c r="C22" i="4"/>
  <c r="E21" i="4"/>
  <c r="D21" i="4"/>
  <c r="C21" i="4"/>
  <c r="G22" i="3"/>
  <c r="F16" i="4"/>
  <c r="F15" i="4"/>
  <c r="E15" i="4"/>
  <c r="D16" i="4"/>
  <c r="D15" i="4"/>
  <c r="C15" i="4"/>
  <c r="C16" i="4"/>
  <c r="F22" i="4" l="1"/>
  <c r="F26" i="2"/>
  <c r="G126" i="1"/>
  <c r="F43" i="2"/>
  <c r="E18" i="3" l="1"/>
  <c r="F22" i="3"/>
  <c r="D25" i="2"/>
  <c r="F21" i="2"/>
  <c r="F20" i="2"/>
  <c r="G27" i="2"/>
  <c r="E30" i="2"/>
  <c r="D31" i="2"/>
  <c r="D30" i="2" s="1"/>
  <c r="G37" i="2"/>
  <c r="D21" i="2"/>
  <c r="E21" i="2" s="1"/>
  <c r="D20" i="2"/>
  <c r="E20" i="2" s="1"/>
  <c r="E31" i="2"/>
  <c r="E25" i="2"/>
  <c r="G74" i="1"/>
  <c r="G76" i="1"/>
  <c r="F16" i="2"/>
  <c r="F15" i="2" s="1"/>
  <c r="F14" i="2" s="1"/>
  <c r="E16" i="2"/>
  <c r="E15" i="2" s="1"/>
  <c r="D16" i="2"/>
  <c r="D15" i="2" s="1"/>
  <c r="E14" i="2" s="1"/>
  <c r="F6" i="2"/>
  <c r="F7" i="2"/>
  <c r="E7" i="2"/>
  <c r="E6" i="2" s="1"/>
  <c r="D7" i="2"/>
  <c r="D6" i="2" s="1"/>
  <c r="D5" i="2"/>
  <c r="G36" i="2"/>
  <c r="G46" i="2"/>
  <c r="G45" i="2"/>
  <c r="F44" i="2"/>
  <c r="F42" i="2" s="1"/>
  <c r="F41" i="2"/>
  <c r="F40" i="2"/>
  <c r="G40" i="2" s="1"/>
  <c r="E42" i="2"/>
  <c r="E41" i="2"/>
  <c r="E39" i="2" s="1"/>
  <c r="D41" i="2"/>
  <c r="D39" i="2" s="1"/>
  <c r="F34" i="2"/>
  <c r="E34" i="2"/>
  <c r="D34" i="2"/>
  <c r="E19" i="2" l="1"/>
  <c r="D19" i="2"/>
  <c r="G14" i="2"/>
  <c r="D14" i="2"/>
  <c r="F39" i="2"/>
  <c r="G41" i="2"/>
  <c r="D106" i="1"/>
  <c r="E88" i="1"/>
  <c r="G245" i="1"/>
  <c r="G243" i="1"/>
  <c r="G241" i="1"/>
  <c r="G239" i="1"/>
  <c r="G238" i="1"/>
  <c r="G237" i="1"/>
  <c r="E220" i="1"/>
  <c r="F233" i="1"/>
  <c r="F211" i="1"/>
  <c r="E211" i="1"/>
  <c r="D211" i="1"/>
  <c r="G217" i="1"/>
  <c r="G216" i="1"/>
  <c r="G213" i="1"/>
  <c r="G212" i="1"/>
  <c r="F206" i="1"/>
  <c r="E207" i="1"/>
  <c r="E206" i="1" s="1"/>
  <c r="D206" i="1"/>
  <c r="F203" i="1"/>
  <c r="F202" i="1" s="1"/>
  <c r="D47" i="2" l="1"/>
  <c r="G211" i="1"/>
  <c r="F116" i="1"/>
  <c r="F107" i="1"/>
  <c r="F110" i="1"/>
  <c r="F113" i="1"/>
  <c r="F174" i="1"/>
  <c r="G174" i="1" s="1"/>
  <c r="F177" i="1"/>
  <c r="G177" i="1" s="1"/>
  <c r="F166" i="1"/>
  <c r="G166" i="1" s="1"/>
  <c r="F171" i="1"/>
  <c r="F162" i="1"/>
  <c r="G162" i="1" s="1"/>
  <c r="F157" i="1"/>
  <c r="G157" i="1" s="1"/>
  <c r="F152" i="1"/>
  <c r="F151" i="1" s="1"/>
  <c r="G151" i="1" s="1"/>
  <c r="F138" i="1"/>
  <c r="F137" i="1" s="1"/>
  <c r="G137" i="1" s="1"/>
  <c r="F131" i="1"/>
  <c r="F130" i="1" s="1"/>
  <c r="F98" i="1"/>
  <c r="F90" i="1"/>
  <c r="G81" i="1"/>
  <c r="G83" i="1"/>
  <c r="D80" i="1"/>
  <c r="D79" i="1" s="1"/>
  <c r="E80" i="1"/>
  <c r="F80" i="1"/>
  <c r="F74" i="1"/>
  <c r="F76" i="1"/>
  <c r="E73" i="1"/>
  <c r="D73" i="1"/>
  <c r="D56" i="1"/>
  <c r="E56" i="1"/>
  <c r="F69" i="1"/>
  <c r="F65" i="1"/>
  <c r="F63" i="1"/>
  <c r="F61" i="1"/>
  <c r="F57" i="1"/>
  <c r="E46" i="1"/>
  <c r="D19" i="1"/>
  <c r="E19" i="1"/>
  <c r="E18" i="1" l="1"/>
  <c r="G80" i="1"/>
  <c r="F165" i="1"/>
  <c r="G165" i="1" s="1"/>
  <c r="G171" i="1"/>
  <c r="F106" i="1"/>
  <c r="F156" i="1"/>
  <c r="G156" i="1" s="1"/>
  <c r="F56" i="1"/>
  <c r="G152" i="1"/>
  <c r="G138" i="1"/>
  <c r="F73" i="1"/>
  <c r="F72" i="1" s="1"/>
  <c r="F40" i="1"/>
  <c r="G37" i="1"/>
  <c r="F30" i="1"/>
  <c r="F24" i="1"/>
  <c r="F19" i="1" l="1"/>
  <c r="E22" i="3" l="1"/>
  <c r="G29" i="2"/>
  <c r="E5" i="2"/>
  <c r="E47" i="2" s="1"/>
  <c r="G11" i="2"/>
  <c r="G10" i="2"/>
  <c r="F25" i="2" l="1"/>
  <c r="F19" i="2" s="1"/>
  <c r="F5" i="2"/>
  <c r="F47" i="2" l="1"/>
  <c r="G5" i="2"/>
  <c r="G20" i="1"/>
  <c r="G30" i="1"/>
  <c r="G40" i="1"/>
  <c r="G50" i="1"/>
  <c r="G53" i="1"/>
  <c r="G52" i="1"/>
  <c r="G69" i="1"/>
  <c r="G65" i="1"/>
  <c r="G63" i="1"/>
  <c r="G57" i="1"/>
  <c r="G56" i="1"/>
  <c r="G73" i="1"/>
  <c r="G85" i="1"/>
  <c r="G86" i="1"/>
  <c r="G90" i="1"/>
  <c r="G98" i="1"/>
  <c r="G103" i="1"/>
  <c r="G107" i="1"/>
  <c r="G113" i="1"/>
  <c r="G116" i="1"/>
  <c r="G110" i="1"/>
  <c r="G131" i="1"/>
  <c r="G188" i="1"/>
  <c r="G187" i="1"/>
  <c r="G202" i="1"/>
  <c r="G203" i="1"/>
  <c r="G206" i="1"/>
  <c r="G221" i="1"/>
  <c r="G222" i="1"/>
  <c r="G225" i="1"/>
  <c r="G226" i="1"/>
  <c r="G233" i="1"/>
  <c r="G232" i="1"/>
  <c r="D220" i="1"/>
  <c r="G39" i="2" l="1"/>
  <c r="F88" i="1"/>
  <c r="F220" i="1"/>
  <c r="G220" i="1" s="1"/>
  <c r="G88" i="1" l="1"/>
  <c r="F79" i="1"/>
  <c r="F47" i="1"/>
  <c r="G24" i="1"/>
  <c r="G44" i="1"/>
  <c r="G47" i="1" l="1"/>
  <c r="F46" i="1"/>
  <c r="G130" i="1"/>
  <c r="G121" i="1"/>
  <c r="E106" i="1"/>
  <c r="D72" i="1"/>
  <c r="E72" i="1"/>
  <c r="D46" i="1"/>
  <c r="D18" i="1" s="1"/>
  <c r="G19" i="1"/>
  <c r="G72" i="1" l="1"/>
  <c r="G46" i="1"/>
  <c r="F18" i="1"/>
  <c r="G106" i="1"/>
  <c r="E79" i="1"/>
  <c r="G79" i="1" s="1"/>
  <c r="D17" i="1"/>
  <c r="C22" i="3"/>
  <c r="F17" i="1" l="1"/>
  <c r="G18" i="1"/>
  <c r="E17" i="1"/>
  <c r="G17" i="1" l="1"/>
  <c r="G42" i="2"/>
  <c r="G44" i="2"/>
  <c r="G43" i="2"/>
  <c r="G21" i="2"/>
  <c r="G20" i="2"/>
  <c r="G26" i="2"/>
  <c r="G31" i="2"/>
  <c r="G30" i="2"/>
  <c r="G25" i="2"/>
  <c r="G23" i="2"/>
  <c r="G22" i="2"/>
  <c r="G16" i="2"/>
  <c r="G7" i="2"/>
  <c r="G9" i="2"/>
  <c r="G8" i="2"/>
  <c r="G6" i="2"/>
  <c r="G15" i="2"/>
  <c r="G19" i="2" l="1"/>
  <c r="G34" i="2"/>
  <c r="F4" i="5"/>
  <c r="E16" i="5"/>
</calcChain>
</file>

<file path=xl/sharedStrings.xml><?xml version="1.0" encoding="utf-8"?>
<sst xmlns="http://schemas.openxmlformats.org/spreadsheetml/2006/main" count="443" uniqueCount="278">
  <si>
    <t>NAZIV</t>
  </si>
  <si>
    <t>PRIHODI IZ NADLEŽNOG PRORAČUNA</t>
  </si>
  <si>
    <t>OSTVARENJE</t>
  </si>
  <si>
    <t>IZVORNI</t>
  </si>
  <si>
    <t>TEKUĆI</t>
  </si>
  <si>
    <t>INDEKS</t>
  </si>
  <si>
    <t>REDOVNA DJELATNOST OŠ MIN STADNARD</t>
  </si>
  <si>
    <t>IZVRŠENJE</t>
  </si>
  <si>
    <t>A210101</t>
  </si>
  <si>
    <t>MATERIJALNI RASHODI OŠ</t>
  </si>
  <si>
    <t>SLUŽBENA PUTOVANJA</t>
  </si>
  <si>
    <t>NAKNADE TROŠKOVA ZAPOSLENIMA</t>
  </si>
  <si>
    <t>STRUČNO USAVRŠAVANJE ZAPOSLENIKA</t>
  </si>
  <si>
    <t>OSTALE NAKNADE ZAPOSLENIMA</t>
  </si>
  <si>
    <t>RASHODI ZA MATERIJAL I ENERGIJU</t>
  </si>
  <si>
    <t>UREDSKI MATERIJAL</t>
  </si>
  <si>
    <t>MAT.ZA TEKUĆE I INVEST.ODRŽAVANJE</t>
  </si>
  <si>
    <t>SITNI INVENTAR I AUTO GUME</t>
  </si>
  <si>
    <t>SLUŽBENA, RADNA I ZAŠTITNA ODJEĆA</t>
  </si>
  <si>
    <t>USLUGE TELEFONA, POŠTE I PRIJEVOZA</t>
  </si>
  <si>
    <t>RASHODI ZA USLUGE</t>
  </si>
  <si>
    <t>USLUGE TEKUĆEG I INVEST.ODRŽAVANJA</t>
  </si>
  <si>
    <t>KOMUNALNE USLUGE</t>
  </si>
  <si>
    <t>RAČUNALNE USLUG</t>
  </si>
  <si>
    <t>OSTALE USLUGE</t>
  </si>
  <si>
    <t>OST.NESPOM.RASHODI</t>
  </si>
  <si>
    <t>ČLANARINE</t>
  </si>
  <si>
    <t>PRISTOJBE I NAKNADE</t>
  </si>
  <si>
    <t>OSTALI NESPOMENUTI RASHODI</t>
  </si>
  <si>
    <t>BANKARSKE USLUGE</t>
  </si>
  <si>
    <t>OSTALI FINANCIJSKI RASHODI</t>
  </si>
  <si>
    <t>A210102</t>
  </si>
  <si>
    <t>MATERIJALNI RASHODI PO STVARNOM TROŠKU</t>
  </si>
  <si>
    <t>ZAKUPNINE I NAJAMNINE</t>
  </si>
  <si>
    <t>ZDRAVSTVENE  VETERINARSKE USLUGE</t>
  </si>
  <si>
    <t xml:space="preserve">OSTALE NAKNADE GRAĐANIMA </t>
  </si>
  <si>
    <t>PRIJEVOZ UČENIKA</t>
  </si>
  <si>
    <t>A210103</t>
  </si>
  <si>
    <t>MATERIJALNI RASHODI - DRUGI IZVOR</t>
  </si>
  <si>
    <t>OST.NESPOMENTUI RASHODI</t>
  </si>
  <si>
    <t>PREMIJE OSIGURANJA</t>
  </si>
  <si>
    <t>REDOVNA DJELATNOST-IZNAD STANDARDA</t>
  </si>
  <si>
    <t>A210201</t>
  </si>
  <si>
    <t>MAT.RASHODI PO ST.TROŠKU IZNAD STANDARDA</t>
  </si>
  <si>
    <t>ENERGIJA</t>
  </si>
  <si>
    <t>OST.NEPOM.RASHODI POSLOVANJA</t>
  </si>
  <si>
    <t>ŽUPANJISKA NATJECANJA</t>
  </si>
  <si>
    <t>OSTALI RASHODI ZA ZAPOSLENE</t>
  </si>
  <si>
    <t>A230104</t>
  </si>
  <si>
    <t>POMOĆNICI U NASTAVI</t>
  </si>
  <si>
    <t>INTELEKTUALNE I OSOBEN USLUGE</t>
  </si>
  <si>
    <t>A230106</t>
  </si>
  <si>
    <t>ŠKOLSKA KUHINJA</t>
  </si>
  <si>
    <t>UREDSKI MATERIJAL I OSTALI MAT.RASH.</t>
  </si>
  <si>
    <t>MATERIJAL I SIROVINE</t>
  </si>
  <si>
    <t>MATERIJAL- OPĆINA FUNTANA</t>
  </si>
  <si>
    <t>MATERIJAL - OPĆINA VRSAR</t>
  </si>
  <si>
    <t>SLUŽBENA I RADNA ODJEĆA I OBUĆA</t>
  </si>
  <si>
    <t>USLUGE TELEFONA, POŠTEI PRIJEVOZA</t>
  </si>
  <si>
    <t>ZDRAVSTVENE I VETERINARSKE USLUGE</t>
  </si>
  <si>
    <t>RAČUNALNE USLUGE</t>
  </si>
  <si>
    <t>OSTALI FIN.RASHODI</t>
  </si>
  <si>
    <t>BANKARSKE USLUGE I PLATNOG PROMETA</t>
  </si>
  <si>
    <t>A230107</t>
  </si>
  <si>
    <t>PRODUŽENI BORAVAK</t>
  </si>
  <si>
    <t>PLAĆE BRUTO</t>
  </si>
  <si>
    <t>PLAĆE ZA REDOVAN RAD - VRSAR</t>
  </si>
  <si>
    <t>PLAĆE ZA REDOVAN RAD - FUNTANA</t>
  </si>
  <si>
    <t>OSTALI RASHODI ZA ZAPOSLENE VRSAR</t>
  </si>
  <si>
    <t>OSTALI RASHODI ZA ZAPOSLENE FUNTANA</t>
  </si>
  <si>
    <t>DOPRINOSI NA PLAĆE</t>
  </si>
  <si>
    <t>DOPRINOSI ZA ZDRAVSTVENO VRSAR</t>
  </si>
  <si>
    <t>DOPRINOSI ZA ZDRAVSTVENO FUNTANA</t>
  </si>
  <si>
    <t>INTELEKTUALNE USLUGE VRSAR</t>
  </si>
  <si>
    <t>INTELEKTUALNE USLUGE FUNTANA</t>
  </si>
  <si>
    <t>OSTALI NEPOMENUTI RASHODI</t>
  </si>
  <si>
    <t>A230116</t>
  </si>
  <si>
    <t>ŠKOLSKI LIST, ČASOPIS I KNJIGE</t>
  </si>
  <si>
    <t xml:space="preserve">KNJIGE </t>
  </si>
  <si>
    <t>UDŽBENICI</t>
  </si>
  <si>
    <t>RADNI UDŽBENICI MZO</t>
  </si>
  <si>
    <t>A230118</t>
  </si>
  <si>
    <t>LOGOPED/EDUKATOR</t>
  </si>
  <si>
    <t>NAKNADE OSOBAMA IZVAN RADNOG</t>
  </si>
  <si>
    <t>A230119</t>
  </si>
  <si>
    <t>NAGRADE ZA UČENIKE</t>
  </si>
  <si>
    <t>OST.NESPOMENUTI RASHODI</t>
  </si>
  <si>
    <t>A230130</t>
  </si>
  <si>
    <t>IZBORNI I DODATNI PROGRAM</t>
  </si>
  <si>
    <t>UREDSKI MATERIJAL FUNTANA</t>
  </si>
  <si>
    <t>A230131</t>
  </si>
  <si>
    <t>ČITAMO MI U OBITELJI SVI</t>
  </si>
  <si>
    <t>KNJIGE</t>
  </si>
  <si>
    <t>A230133</t>
  </si>
  <si>
    <t>RAD S NADARENIM UČENICIMA</t>
  </si>
  <si>
    <t>A230134</t>
  </si>
  <si>
    <t>ŠKOLSKI PREVENTIVNI PROGRAM</t>
  </si>
  <si>
    <t>A230137</t>
  </si>
  <si>
    <t>STRUČNO USAVRŠAVANJE UČITELJA</t>
  </si>
  <si>
    <t>NAKNADE ZAPOSLENIMA</t>
  </si>
  <si>
    <t>A230171</t>
  </si>
  <si>
    <t>ŠKOLSKA SPORTSKA DRUŠTVA</t>
  </si>
  <si>
    <t>A230177</t>
  </si>
  <si>
    <t>EKO ŠKOLA</t>
  </si>
  <si>
    <t>POSTROJENJA I OPREMA</t>
  </si>
  <si>
    <t>A230178</t>
  </si>
  <si>
    <t>FOLKLOR</t>
  </si>
  <si>
    <t>A230184</t>
  </si>
  <si>
    <t>ZAVIČAJNA NASTAVA</t>
  </si>
  <si>
    <t>RASHODI ZA MATERIJAL</t>
  </si>
  <si>
    <t>MATERIJAL</t>
  </si>
  <si>
    <t>A230199</t>
  </si>
  <si>
    <t>ŠKOLSKA SHEMA</t>
  </si>
  <si>
    <t>PROGRAM OBRAZOVANJA IZNAD STANDARDA</t>
  </si>
  <si>
    <t>A230203</t>
  </si>
  <si>
    <t>MEDNI DAN</t>
  </si>
  <si>
    <t>PROGRAMI OBRAZOVANJA IZNAD STANDARDA</t>
  </si>
  <si>
    <t>OPREMANJE U ŠKOLI</t>
  </si>
  <si>
    <t>K240501</t>
  </si>
  <si>
    <t>K240502</t>
  </si>
  <si>
    <t>K240506</t>
  </si>
  <si>
    <t>OPREMANJE KNJIŽNICE</t>
  </si>
  <si>
    <t>PROJEKTNA DOKUMENTACIJA</t>
  </si>
  <si>
    <t>NAMTERIJALNA IMOVINA</t>
  </si>
  <si>
    <t>PRIHODI</t>
  </si>
  <si>
    <t>PRIHDOI IŽ ZA FIN.RASHODA POSLOVANJA</t>
  </si>
  <si>
    <t>RASHODI:</t>
  </si>
  <si>
    <t>PRIHODI:</t>
  </si>
  <si>
    <t>SUFINANCIRANJE</t>
  </si>
  <si>
    <t>SUFINANCIRANJE RODITELJA</t>
  </si>
  <si>
    <t>OPĆINA VRSAR</t>
  </si>
  <si>
    <t>OPĆINA FUNTANA</t>
  </si>
  <si>
    <t>MZO</t>
  </si>
  <si>
    <t>EU PROJEKT</t>
  </si>
  <si>
    <t>OPĆIN A FUNTANA</t>
  </si>
  <si>
    <t>SUFINANCIRANJE OD RODITELJA</t>
  </si>
  <si>
    <t>OSTALI PRIHODI</t>
  </si>
  <si>
    <t>REPUBLIKA HRVATSKA – ISTARSKA ŽUPANIJA</t>
  </si>
  <si>
    <t>Osnovna škola VLADIMIRA NAZORA – Rade Končara 72,  52450 Vrsar</t>
  </si>
  <si>
    <t>Tel :052 441-306, 441-425, Fax: 052 428-046, MB 3061787</t>
  </si>
  <si>
    <t>IZVORNI PLAN</t>
  </si>
  <si>
    <t>TEKUĆI PLAN</t>
  </si>
  <si>
    <t xml:space="preserve">                                       OIB: 42561610611 ,</t>
  </si>
  <si>
    <t xml:space="preserve"> e-mail: ured@os-vnazora-vrsar.skole.hr</t>
  </si>
  <si>
    <t xml:space="preserve">     Osnovna škola VLADIMIRA NAZORA – Rade Končara 72,  52450 Vrsar</t>
  </si>
  <si>
    <t>RED.BROJ</t>
  </si>
  <si>
    <t>OPĆI PRIHODI</t>
  </si>
  <si>
    <t>PRIHODI ZA POSEBNE NAMJENE</t>
  </si>
  <si>
    <t>EU PROJEKTI</t>
  </si>
  <si>
    <t>UKUPNO:</t>
  </si>
  <si>
    <t>DONACIJE</t>
  </si>
  <si>
    <t>VIŠAK</t>
  </si>
  <si>
    <t>MANJAK</t>
  </si>
  <si>
    <t>DONOS</t>
  </si>
  <si>
    <t>NAKNADE TROŠKOVA OSOBAMA IZVAN RAD.OD.</t>
  </si>
  <si>
    <t>INTELEKTUALNE I OSOBNE USLUGE</t>
  </si>
  <si>
    <t>OPREMANJE U OSNOVNIM ŠKOLAMA</t>
  </si>
  <si>
    <t>OPREMA</t>
  </si>
  <si>
    <t>KNJIGE MZO</t>
  </si>
  <si>
    <t>INTELEKTUALNE USLUGE</t>
  </si>
  <si>
    <t xml:space="preserve">OST.NESPOM.RASHODI </t>
  </si>
  <si>
    <t>INTELEKTUALNE USLUGE DONACIJA</t>
  </si>
  <si>
    <t xml:space="preserve">OSTALE USLUGE </t>
  </si>
  <si>
    <t xml:space="preserve">SLUŽBENA PUTOVANJA </t>
  </si>
  <si>
    <t>A210104</t>
  </si>
  <si>
    <t>PLAĆE I DRUGI RASHODI ZA ZAPOSLENE OŠ</t>
  </si>
  <si>
    <t>BRUTO PLAĆE</t>
  </si>
  <si>
    <t>REDOVAN RAD</t>
  </si>
  <si>
    <t>PREKOVREMENI RAD</t>
  </si>
  <si>
    <t>POSEBNI UVJETI RADA</t>
  </si>
  <si>
    <t>OSTALI RASHODI</t>
  </si>
  <si>
    <t>OSTALI RASHODI POSLOVANJA</t>
  </si>
  <si>
    <t>DOPRINOS ZA OBVEZNO ZDRAVSTVENO</t>
  </si>
  <si>
    <t>NAKNADNE TROŠKOVA ZAPOSLENIMA</t>
  </si>
  <si>
    <t>NAKNADE ZA PRIJEVOZ</t>
  </si>
  <si>
    <t>OST.NESPOM.RASHODI POSLOVANJA</t>
  </si>
  <si>
    <t xml:space="preserve">OSTALE NAKNADE GRAĐANIMA I KUĆANSTVIMA </t>
  </si>
  <si>
    <t>POMOĆI PRORAČUNA</t>
  </si>
  <si>
    <t>TEKUĆE POMOĆI IZ DRŽAVNOG PRORAČUNA</t>
  </si>
  <si>
    <t>PRIHODI OD OPĆINA</t>
  </si>
  <si>
    <t>SUFINANCIRANJE ZAPOSLENIKA</t>
  </si>
  <si>
    <t>PRIHOD KORISNIKA ISTOG PRORAČUN</t>
  </si>
  <si>
    <t>PRIHODI OD NAKNADA ŠTETE</t>
  </si>
  <si>
    <t>TEKUĆE DONACIJE OD NEPROFITNIG ORG.</t>
  </si>
  <si>
    <t>PRIHODI MZO</t>
  </si>
  <si>
    <t>IZVJEŠTAJ O IZVRŠENJU FINANCISJKOG PLANA 2021.</t>
  </si>
  <si>
    <t>NAKNADE TROŠKOVA OSOBAMA VAN RAD.ODNOSA</t>
  </si>
  <si>
    <t>OST.NAKNADE GRAĐANIMA</t>
  </si>
  <si>
    <t>NAKNADE ZA PRIJEVOZ  VRSAR</t>
  </si>
  <si>
    <t>NAKNADE ZA PRIJEVOZ  FUNTANA</t>
  </si>
  <si>
    <t>OST.NESPOM.RASHODI POSLOVANJA VRSAR</t>
  </si>
  <si>
    <t>OST.NESPOM.RASHODI POSLOVANJA FUNTANA</t>
  </si>
  <si>
    <t>KNJIGE VRSAR</t>
  </si>
  <si>
    <t>KNJIGE FUNTANA</t>
  </si>
  <si>
    <t>UREDSKI MATERIJAL VRSAR</t>
  </si>
  <si>
    <t>MATERIJAL I SIROVINE VRSAR</t>
  </si>
  <si>
    <t>MATERIJAL I SIROVINE FUNTANA</t>
  </si>
  <si>
    <t>NANADE TROŠKOVA VRSAR</t>
  </si>
  <si>
    <t>NAKNADE TROŠKOVA FUNTANA</t>
  </si>
  <si>
    <t>SLUŽBENA PUTOVANJA VRSAR</t>
  </si>
  <si>
    <t>SLUŽBENA PUTOVANJA FUNTANA</t>
  </si>
  <si>
    <t>STRUČNO USAVRŠAVANJE FUNTANA</t>
  </si>
  <si>
    <t>STRUČNO USAVRŠAVANJE VRSAR</t>
  </si>
  <si>
    <t>INTELEKTUALNE USLUGE  FUNTANA</t>
  </si>
  <si>
    <t>ČLANARINE VRSAR</t>
  </si>
  <si>
    <t>ČLANARINE FUNTANA</t>
  </si>
  <si>
    <t>INVESTICIJSKO ODRŽAVANJE OSNOVNIH ŠKOLA</t>
  </si>
  <si>
    <t>A240101</t>
  </si>
  <si>
    <t>INVESTICIJSKO ODRŽAVANJE OŠ - MIN.STANDARD</t>
  </si>
  <si>
    <t>USLUGE TEKUĆEG I INVESTICIJSKOG ODRŽAVANJA</t>
  </si>
  <si>
    <t>A240102</t>
  </si>
  <si>
    <t>INVESTICIJSKO ODRŽAVANJE OŠ - IZNAD STANDARDA</t>
  </si>
  <si>
    <t>OPEMA ZA ODRŽAVANJE I ZAŠTITU</t>
  </si>
  <si>
    <t>KNJIGE  VRSAR</t>
  </si>
  <si>
    <t>KNJIGE IŽ</t>
  </si>
  <si>
    <t>PROJEKTNA DOKUMENTACIJA VRSAR</t>
  </si>
  <si>
    <t>PROJEKTNA DOKUMENTACIJA FUNTANA</t>
  </si>
  <si>
    <t>MOZAIK 4</t>
  </si>
  <si>
    <t>T910801</t>
  </si>
  <si>
    <t>PROVEDBA PROJEKTA MOZAIK 4</t>
  </si>
  <si>
    <t>PLAĆE ZA REDOVAN RAD</t>
  </si>
  <si>
    <t>DOPRINOSI ZA OBEZNO ZDRAVSTVENO OSIGURANJE</t>
  </si>
  <si>
    <t>NAKNADE TZA PRIJEVOZ ZA RAD NA TERENU</t>
  </si>
  <si>
    <t>INVESTICIJSKO ODRŽAVANJE OŠ</t>
  </si>
  <si>
    <t>PRIHODI ISTARSKA ŽUPANIJA</t>
  </si>
  <si>
    <t>PRIHODI ISTARSKE ŽUPANIJE</t>
  </si>
  <si>
    <t>TEST 6000</t>
  </si>
  <si>
    <t>SUD 1950</t>
  </si>
  <si>
    <t>RED.BR.</t>
  </si>
  <si>
    <t>IZVOR</t>
  </si>
  <si>
    <t>FINANCIRANJA</t>
  </si>
  <si>
    <t>PLAN 2021</t>
  </si>
  <si>
    <t>OPĆI DIO - PREGLED UKUPNIH PRIHODA I RASHODA PO IZVORIMA FINANCIRANJA</t>
  </si>
  <si>
    <t>OPĆI PRIHODI I PRIMICI</t>
  </si>
  <si>
    <t>RASHODI</t>
  </si>
  <si>
    <t>ODNOS</t>
  </si>
  <si>
    <t>OPĆINA VRSAR - KUHINJA</t>
  </si>
  <si>
    <t>OPĆINA FUNTANA - KUHINJA</t>
  </si>
  <si>
    <t>RH POREZ NA DOHODAK POVRAT</t>
  </si>
  <si>
    <t xml:space="preserve"> </t>
  </si>
  <si>
    <t>POMOĆI</t>
  </si>
  <si>
    <t>PO PROGRAMSKOJ I EKONOMSKOJ KLASIFIKACIJI I IZVORIMA FINANCIRANJA</t>
  </si>
  <si>
    <t>IZVRŠENJE IZDATAKA</t>
  </si>
  <si>
    <t>PRIHODI PO POGRAMSKOJ KLASIFIKACIJI I IZVORIMA FINANCIRANJA 2021</t>
  </si>
  <si>
    <t>KORIŠTENJE DONOSA VIŠKA/MANJKA 2021</t>
  </si>
  <si>
    <t>KONTO</t>
  </si>
  <si>
    <t>VRSTA PRIHODA</t>
  </si>
  <si>
    <t>PRIHODI POSLOVANJA</t>
  </si>
  <si>
    <t>POMOĆI IZ INOZEMSTVA I OD SUBJEKATA UNUTAR OPĆEG PRORAČUNA</t>
  </si>
  <si>
    <t>POMOĆI PRORAČUNSKIM KORISNICIMA IZ PRORAČUNA KOJI IM NIJE NADLEŽAN</t>
  </si>
  <si>
    <t>POMOĆI TEMELJEM PRIJENOSA EU SREDSTAVA</t>
  </si>
  <si>
    <t>PRIJENOSI IZMEĐU PRORAČUNSKIH KORISNIKA ISTOG PRORAČUNA</t>
  </si>
  <si>
    <t>PRIHODI OD UPR.I ADM.PRISTOJBI PO POSEBNIM PROPISIMA</t>
  </si>
  <si>
    <t>PRIHODI PO POSEBNIM PRIHODIMA</t>
  </si>
  <si>
    <t>PRIHODI OD PRODAJE PROIZVODA I PRIHODI OD DONACIJA</t>
  </si>
  <si>
    <t xml:space="preserve">VLASTITI PRIHODI </t>
  </si>
  <si>
    <t xml:space="preserve">PRIHODI IZ NADL.PRORAČUNA ZA FIN.REDOVNE DJELATNOSTI </t>
  </si>
  <si>
    <t>OSTALI PRPIHODI</t>
  </si>
  <si>
    <t>VRSTA RASHODA</t>
  </si>
  <si>
    <t>RASHODI POSLOVANJA</t>
  </si>
  <si>
    <t>RASHODI ZA ZAPOSLENE</t>
  </si>
  <si>
    <t>RASHODI ZA PLAĆE BRUTO</t>
  </si>
  <si>
    <t>OSTALI RASHODI ZA ZAPSOLENE</t>
  </si>
  <si>
    <t>MATERIJALNI RASHODI</t>
  </si>
  <si>
    <t>NAKNADE TROŠKOVA ZAPOSLENIH</t>
  </si>
  <si>
    <t>NAKNADE TROŠKOVA OSOBAMA IZVAN RADNOG ODNOSA</t>
  </si>
  <si>
    <t>OSTALI NESPOMENUTI RASHODI POSLOVANJA</t>
  </si>
  <si>
    <t>FINANCIJSKI RASHODI</t>
  </si>
  <si>
    <t>OSTALE NAKNADE GRAĐANIMA IZ PRORAČUNA</t>
  </si>
  <si>
    <t>RASDHODI ZA NABAVU NEFINANCISJKE IMOVINE</t>
  </si>
  <si>
    <t>RASHODI ZA NABAVU NEPROIZV</t>
  </si>
  <si>
    <t>NEMATERIJALNA IMOVINA</t>
  </si>
  <si>
    <t>RASHODDI ZA NABAVU PROIZVODNE DUGOTRAJNE IMOVINE</t>
  </si>
  <si>
    <t>KNJIGE U KNJIŽNICAMA</t>
  </si>
  <si>
    <t>IZVORNI PLAN 2021</t>
  </si>
  <si>
    <t>TEKUĆI PLAN 2021</t>
  </si>
  <si>
    <t>POMOĆI OD PRAVNIH I FIZIČKIH OSOBA IZVAN PRORAČUNA</t>
  </si>
  <si>
    <t>IZVJEŠTAJ O IZVRŠENJU  PRIHODA I RASHODA PREMA EKONOMSKOJ KLASIFIKACIJI ZA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</si>
</sst>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_-* #,##0\ _k_n_-;\-* #,##0\ _k_n_-;_-* &quot;-&quot;??\ _k_n_-;_-@_-"/>
    <numFmt numFmtId="165" formatCode="0.000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9C6500"/>
      <name val="Calibri"/>
      <family val="2"/>
      <charset val="238"/>
      <scheme val="minor"/>
    </font>
    <font>
      <b/>
      <sz val="10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Book Antiqua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0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9"/>
      <color rgb="FF3F3F3F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/>
        <bgColor indexed="64"/>
      </patternFill>
    </fill>
    <fill>
      <patternFill patternType="solid">
        <fgColor rgb="FFF2F2F2"/>
      </patternFill>
    </fill>
    <fill>
      <patternFill patternType="solid">
        <fgColor theme="7" tint="0.79998168889431442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4" borderId="4" applyNumberFormat="0" applyAlignment="0" applyProtection="0"/>
    <xf numFmtId="0" fontId="17" fillId="4" borderId="5" applyNumberFormat="0" applyAlignment="0" applyProtection="0"/>
    <xf numFmtId="0" fontId="1" fillId="5" borderId="0" applyNumberFormat="0" applyBorder="0" applyAlignment="0" applyProtection="0"/>
  </cellStyleXfs>
  <cellXfs count="84">
    <xf numFmtId="0" fontId="0" fillId="0" borderId="0" xfId="0"/>
    <xf numFmtId="0" fontId="3" fillId="0" borderId="0" xfId="0" applyFont="1"/>
    <xf numFmtId="0" fontId="4" fillId="0" borderId="1" xfId="0" applyFont="1" applyBorder="1"/>
    <xf numFmtId="0" fontId="3" fillId="0" borderId="1" xfId="0" applyFont="1" applyBorder="1"/>
    <xf numFmtId="0" fontId="0" fillId="0" borderId="0" xfId="0" applyFont="1"/>
    <xf numFmtId="0" fontId="4" fillId="3" borderId="1" xfId="0" applyFont="1" applyFill="1" applyBorder="1"/>
    <xf numFmtId="0" fontId="5" fillId="2" borderId="1" xfId="2" applyFont="1" applyBorder="1"/>
    <xf numFmtId="0" fontId="6" fillId="2" borderId="1" xfId="2" applyFont="1" applyBorder="1"/>
    <xf numFmtId="0" fontId="3" fillId="0" borderId="0" xfId="0" applyFont="1" applyBorder="1"/>
    <xf numFmtId="0" fontId="0" fillId="0" borderId="0" xfId="0" applyBorder="1"/>
    <xf numFmtId="0" fontId="8" fillId="0" borderId="0" xfId="0" applyFont="1" applyAlignment="1">
      <alignment horizontal="center" vertical="center"/>
    </xf>
    <xf numFmtId="0" fontId="9" fillId="0" borderId="0" xfId="3"/>
    <xf numFmtId="0" fontId="5" fillId="2" borderId="3" xfId="2" applyFont="1" applyBorder="1"/>
    <xf numFmtId="0" fontId="11" fillId="2" borderId="1" xfId="2" applyFont="1" applyBorder="1"/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2" fontId="11" fillId="2" borderId="1" xfId="2" applyNumberFormat="1" applyFont="1" applyBorder="1"/>
    <xf numFmtId="0" fontId="12" fillId="3" borderId="1" xfId="0" applyFont="1" applyFill="1" applyBorder="1"/>
    <xf numFmtId="2" fontId="12" fillId="3" borderId="1" xfId="0" applyNumberFormat="1" applyFont="1" applyFill="1" applyBorder="1"/>
    <xf numFmtId="0" fontId="12" fillId="0" borderId="1" xfId="0" applyFont="1" applyBorder="1"/>
    <xf numFmtId="0" fontId="13" fillId="0" borderId="1" xfId="0" applyFont="1" applyBorder="1"/>
    <xf numFmtId="0" fontId="13" fillId="0" borderId="0" xfId="0" applyFont="1"/>
    <xf numFmtId="0" fontId="11" fillId="2" borderId="3" xfId="2" applyFont="1" applyBorder="1"/>
    <xf numFmtId="0" fontId="14" fillId="2" borderId="1" xfId="2" applyFont="1" applyBorder="1"/>
    <xf numFmtId="0" fontId="13" fillId="3" borderId="1" xfId="0" applyFont="1" applyFill="1" applyBorder="1"/>
    <xf numFmtId="43" fontId="13" fillId="0" borderId="1" xfId="1" applyFont="1" applyBorder="1"/>
    <xf numFmtId="0" fontId="13" fillId="0" borderId="2" xfId="0" applyFont="1" applyBorder="1"/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13" fillId="0" borderId="0" xfId="0" applyFont="1" applyFill="1" applyBorder="1"/>
    <xf numFmtId="2" fontId="13" fillId="0" borderId="1" xfId="0" applyNumberFormat="1" applyFont="1" applyBorder="1"/>
    <xf numFmtId="0" fontId="13" fillId="0" borderId="1" xfId="0" applyFont="1" applyFill="1" applyBorder="1"/>
    <xf numFmtId="2" fontId="13" fillId="0" borderId="1" xfId="0" applyNumberFormat="1" applyFont="1" applyFill="1" applyBorder="1"/>
    <xf numFmtId="0" fontId="2" fillId="2" borderId="1" xfId="2" applyBorder="1"/>
    <xf numFmtId="2" fontId="2" fillId="2" borderId="1" xfId="2" applyNumberFormat="1" applyBorder="1"/>
    <xf numFmtId="164" fontId="2" fillId="2" borderId="1" xfId="2" applyNumberFormat="1" applyBorder="1"/>
    <xf numFmtId="1" fontId="2" fillId="2" borderId="1" xfId="2" applyNumberFormat="1" applyBorder="1"/>
    <xf numFmtId="0" fontId="16" fillId="4" borderId="4" xfId="4" applyFont="1"/>
    <xf numFmtId="0" fontId="3" fillId="0" borderId="1" xfId="0" applyFont="1" applyFill="1" applyBorder="1"/>
    <xf numFmtId="0" fontId="13" fillId="0" borderId="0" xfId="0" applyFont="1" applyBorder="1"/>
    <xf numFmtId="0" fontId="17" fillId="4" borderId="5" xfId="5"/>
    <xf numFmtId="2" fontId="17" fillId="4" borderId="5" xfId="5" applyNumberFormat="1"/>
    <xf numFmtId="2" fontId="3" fillId="0" borderId="1" xfId="0" applyNumberFormat="1" applyFont="1" applyBorder="1"/>
    <xf numFmtId="2" fontId="3" fillId="0" borderId="1" xfId="0" applyNumberFormat="1" applyFont="1" applyFill="1" applyBorder="1"/>
    <xf numFmtId="0" fontId="4" fillId="0" borderId="1" xfId="0" applyFont="1" applyFill="1" applyBorder="1"/>
    <xf numFmtId="2" fontId="12" fillId="0" borderId="1" xfId="0" applyNumberFormat="1" applyFont="1" applyBorder="1"/>
    <xf numFmtId="165" fontId="12" fillId="0" borderId="1" xfId="0" applyNumberFormat="1" applyFont="1" applyBorder="1"/>
    <xf numFmtId="2" fontId="14" fillId="2" borderId="1" xfId="2" applyNumberFormat="1" applyFont="1" applyBorder="1"/>
    <xf numFmtId="0" fontId="3" fillId="0" borderId="2" xfId="0" applyFont="1" applyBorder="1"/>
    <xf numFmtId="0" fontId="3" fillId="0" borderId="6" xfId="0" applyFont="1" applyBorder="1"/>
    <xf numFmtId="2" fontId="13" fillId="0" borderId="2" xfId="0" applyNumberFormat="1" applyFont="1" applyBorder="1"/>
    <xf numFmtId="2" fontId="13" fillId="0" borderId="1" xfId="1" applyNumberFormat="1" applyFont="1" applyBorder="1"/>
    <xf numFmtId="2" fontId="5" fillId="2" borderId="1" xfId="2" applyNumberFormat="1" applyFont="1" applyBorder="1"/>
    <xf numFmtId="0" fontId="18" fillId="4" borderId="4" xfId="4" applyFont="1"/>
    <xf numFmtId="2" fontId="18" fillId="4" borderId="4" xfId="4" applyNumberFormat="1" applyFont="1"/>
    <xf numFmtId="2" fontId="19" fillId="0" borderId="1" xfId="0" applyNumberFormat="1" applyFont="1" applyBorder="1"/>
    <xf numFmtId="1" fontId="3" fillId="0" borderId="1" xfId="0" applyNumberFormat="1" applyFont="1" applyBorder="1"/>
    <xf numFmtId="1" fontId="3" fillId="0" borderId="1" xfId="0" applyNumberFormat="1" applyFont="1" applyFill="1" applyBorder="1"/>
    <xf numFmtId="2" fontId="20" fillId="0" borderId="1" xfId="0" applyNumberFormat="1" applyFont="1" applyBorder="1"/>
    <xf numFmtId="2" fontId="17" fillId="4" borderId="7" xfId="5" applyNumberFormat="1" applyBorder="1"/>
    <xf numFmtId="0" fontId="17" fillId="4" borderId="8" xfId="5" applyBorder="1"/>
    <xf numFmtId="2" fontId="17" fillId="4" borderId="1" xfId="5" applyNumberFormat="1" applyBorder="1"/>
    <xf numFmtId="2" fontId="0" fillId="0" borderId="1" xfId="0" applyNumberFormat="1" applyBorder="1"/>
    <xf numFmtId="2" fontId="0" fillId="0" borderId="0" xfId="0" applyNumberFormat="1"/>
    <xf numFmtId="0" fontId="0" fillId="0" borderId="1" xfId="0" applyBorder="1"/>
    <xf numFmtId="0" fontId="19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2" fontId="19" fillId="0" borderId="0" xfId="0" applyNumberFormat="1" applyFont="1" applyAlignment="1">
      <alignment vertical="center"/>
    </xf>
    <xf numFmtId="2" fontId="19" fillId="0" borderId="0" xfId="0" applyNumberFormat="1" applyFont="1" applyBorder="1" applyAlignment="1">
      <alignment vertical="center"/>
    </xf>
    <xf numFmtId="0" fontId="18" fillId="4" borderId="4" xfId="4" applyFont="1" applyAlignment="1">
      <alignment vertical="center"/>
    </xf>
    <xf numFmtId="2" fontId="18" fillId="4" borderId="4" xfId="4" applyNumberFormat="1" applyFont="1" applyAlignment="1">
      <alignment horizontal="center" vertical="center"/>
    </xf>
    <xf numFmtId="0" fontId="13" fillId="5" borderId="1" xfId="6" applyFont="1" applyBorder="1" applyAlignment="1">
      <alignment vertical="center"/>
    </xf>
    <xf numFmtId="2" fontId="13" fillId="5" borderId="1" xfId="6" applyNumberFormat="1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2" fontId="19" fillId="0" borderId="1" xfId="0" applyNumberFormat="1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2" fontId="21" fillId="0" borderId="1" xfId="0" applyNumberFormat="1" applyFont="1" applyBorder="1" applyAlignment="1">
      <alignment vertical="center"/>
    </xf>
    <xf numFmtId="2" fontId="18" fillId="4" borderId="9" xfId="4" applyNumberFormat="1" applyFont="1" applyBorder="1" applyAlignment="1">
      <alignment horizontal="center" vertical="center"/>
    </xf>
    <xf numFmtId="2" fontId="13" fillId="5" borderId="10" xfId="6" applyNumberFormat="1" applyFont="1" applyBorder="1" applyAlignment="1">
      <alignment vertical="center"/>
    </xf>
    <xf numFmtId="2" fontId="18" fillId="4" borderId="1" xfId="4" applyNumberFormat="1" applyFont="1" applyBorder="1" applyAlignment="1">
      <alignment horizontal="center" vertical="center"/>
    </xf>
    <xf numFmtId="0" fontId="1" fillId="5" borderId="1" xfId="6" applyBorder="1"/>
    <xf numFmtId="0" fontId="13" fillId="0" borderId="1" xfId="0" applyFont="1" applyBorder="1" applyAlignment="1">
      <alignment horizontal="right"/>
    </xf>
  </cellXfs>
  <cellStyles count="7">
    <cellStyle name="20% - Isticanje4" xfId="6" builtinId="42"/>
    <cellStyle name="Hiperveza" xfId="3" builtinId="8"/>
    <cellStyle name="Izlaz" xfId="4" builtinId="21"/>
    <cellStyle name="Izračun" xfId="5" builtinId="22"/>
    <cellStyle name="Neutralno" xfId="2" builtinId="28"/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823595</xdr:colOff>
      <xdr:row>3</xdr:row>
      <xdr:rowOff>171450</xdr:rowOff>
    </xdr:to>
    <xdr:pic>
      <xdr:nvPicPr>
        <xdr:cNvPr id="4" name="Slika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3595" cy="742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95250</xdr:rowOff>
    </xdr:from>
    <xdr:to>
      <xdr:col>1</xdr:col>
      <xdr:colOff>404495</xdr:colOff>
      <xdr:row>4</xdr:row>
      <xdr:rowOff>76200</xdr:rowOff>
    </xdr:to>
    <xdr:pic>
      <xdr:nvPicPr>
        <xdr:cNvPr id="2" name="Slika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95250"/>
          <a:ext cx="985520" cy="742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375920</xdr:colOff>
      <xdr:row>4</xdr:row>
      <xdr:rowOff>9525</xdr:rowOff>
    </xdr:to>
    <xdr:pic>
      <xdr:nvPicPr>
        <xdr:cNvPr id="2" name="Slika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823595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2"/>
  <sheetViews>
    <sheetView topLeftCell="A232" workbookViewId="0">
      <selection activeCell="B10" sqref="B10"/>
    </sheetView>
  </sheetViews>
  <sheetFormatPr defaultRowHeight="15" x14ac:dyDescent="0.25"/>
  <cols>
    <col min="1" max="1" width="13.28515625" bestFit="1" customWidth="1"/>
    <col min="2" max="2" width="37.7109375" customWidth="1"/>
    <col min="3" max="3" width="0.140625" customWidth="1"/>
    <col min="4" max="5" width="10.7109375" customWidth="1"/>
    <col min="6" max="6" width="13.57031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D2" s="10" t="s">
        <v>137</v>
      </c>
      <c r="E2" s="1"/>
      <c r="F2" s="1"/>
      <c r="G2" s="1"/>
    </row>
    <row r="3" spans="1:7" x14ac:dyDescent="0.25">
      <c r="D3" s="10" t="s">
        <v>138</v>
      </c>
      <c r="E3" s="1"/>
      <c r="F3" s="1"/>
      <c r="G3" s="1"/>
    </row>
    <row r="4" spans="1:7" x14ac:dyDescent="0.25">
      <c r="D4" s="10" t="s">
        <v>139</v>
      </c>
    </row>
    <row r="5" spans="1:7" x14ac:dyDescent="0.25">
      <c r="B5" t="s">
        <v>142</v>
      </c>
      <c r="D5" s="11" t="s">
        <v>143</v>
      </c>
    </row>
    <row r="6" spans="1:7" ht="21" customHeight="1" x14ac:dyDescent="0.25"/>
    <row r="7" spans="1:7" hidden="1" x14ac:dyDescent="0.25"/>
    <row r="8" spans="1:7" hidden="1" x14ac:dyDescent="0.25"/>
    <row r="9" spans="1:7" hidden="1" x14ac:dyDescent="0.25"/>
    <row r="10" spans="1:7" ht="15.75" x14ac:dyDescent="0.25">
      <c r="A10" s="14" t="s">
        <v>185</v>
      </c>
      <c r="B10" s="15"/>
      <c r="C10" s="15"/>
      <c r="D10" s="15"/>
    </row>
    <row r="11" spans="1:7" x14ac:dyDescent="0.25">
      <c r="A11" s="16" t="s">
        <v>241</v>
      </c>
      <c r="B11" s="15"/>
      <c r="C11" s="15"/>
      <c r="D11" s="15"/>
    </row>
    <row r="12" spans="1:7" x14ac:dyDescent="0.25">
      <c r="A12" s="16" t="s">
        <v>242</v>
      </c>
      <c r="B12" s="15"/>
      <c r="C12" s="15"/>
      <c r="D12" s="15"/>
    </row>
    <row r="14" spans="1:7" ht="9.75" customHeight="1" x14ac:dyDescent="0.25"/>
    <row r="15" spans="1:7" hidden="1" x14ac:dyDescent="0.25"/>
    <row r="16" spans="1:7" x14ac:dyDescent="0.25">
      <c r="A16" s="3"/>
      <c r="B16" s="3" t="s">
        <v>126</v>
      </c>
      <c r="C16" s="12"/>
      <c r="D16" s="13" t="s">
        <v>140</v>
      </c>
      <c r="E16" s="6" t="s">
        <v>141</v>
      </c>
      <c r="F16" s="6" t="s">
        <v>7</v>
      </c>
      <c r="G16" s="6" t="s">
        <v>5</v>
      </c>
    </row>
    <row r="17" spans="1:7" x14ac:dyDescent="0.25">
      <c r="A17" s="3"/>
      <c r="B17" s="3" t="s">
        <v>149</v>
      </c>
      <c r="C17" s="12"/>
      <c r="D17" s="17">
        <f>D18+D72+D79+D206+D211+D220+D237</f>
        <v>7736014.5299999993</v>
      </c>
      <c r="E17" s="53">
        <f>E18+E72+E79+E206+E211+E220+E237</f>
        <v>7736014.5299999993</v>
      </c>
      <c r="F17" s="53">
        <f>F18+F72+F79+F206+F211+F220+F237</f>
        <v>7525167.8799999999</v>
      </c>
      <c r="G17" s="6">
        <f>F17/E17*100</f>
        <v>97.274479653801791</v>
      </c>
    </row>
    <row r="18" spans="1:7" x14ac:dyDescent="0.25">
      <c r="A18" s="6">
        <v>2101</v>
      </c>
      <c r="B18" s="13" t="s">
        <v>6</v>
      </c>
      <c r="C18" s="13"/>
      <c r="D18" s="17">
        <f>D19+D46+D52+D56</f>
        <v>5747755.0999999996</v>
      </c>
      <c r="E18" s="17">
        <f>E19+E46+E52+E56</f>
        <v>5747755.0999999996</v>
      </c>
      <c r="F18" s="17">
        <f>F19+F46+F52+F56</f>
        <v>5807023.8700000001</v>
      </c>
      <c r="G18" s="17">
        <f>F18/E18*100</f>
        <v>101.03116380167276</v>
      </c>
    </row>
    <row r="19" spans="1:7" x14ac:dyDescent="0.25">
      <c r="A19" s="5" t="s">
        <v>8</v>
      </c>
      <c r="B19" s="18" t="s">
        <v>9</v>
      </c>
      <c r="C19" s="18"/>
      <c r="D19" s="19">
        <f>D20+D24+D30+D37++D40+D44</f>
        <v>194736</v>
      </c>
      <c r="E19" s="19">
        <f>E20+E24+E30+E37+E40+E44</f>
        <v>194736</v>
      </c>
      <c r="F19" s="19">
        <f>F20+F24+F30+F37+F40+F44</f>
        <v>194736</v>
      </c>
      <c r="G19" s="19">
        <f>F19/E19*100</f>
        <v>100</v>
      </c>
    </row>
    <row r="20" spans="1:7" x14ac:dyDescent="0.25">
      <c r="A20" s="2">
        <v>321</v>
      </c>
      <c r="B20" s="20" t="s">
        <v>11</v>
      </c>
      <c r="C20" s="20"/>
      <c r="D20" s="46">
        <v>34000</v>
      </c>
      <c r="E20" s="46">
        <v>34000</v>
      </c>
      <c r="F20" s="46">
        <v>34000</v>
      </c>
      <c r="G20" s="46">
        <f>F20/E20*100</f>
        <v>100</v>
      </c>
    </row>
    <row r="21" spans="1:7" x14ac:dyDescent="0.25">
      <c r="A21" s="3">
        <v>3211</v>
      </c>
      <c r="B21" s="21" t="s">
        <v>10</v>
      </c>
      <c r="C21" s="21"/>
      <c r="D21" s="31"/>
      <c r="E21" s="31"/>
      <c r="F21" s="31">
        <v>25000</v>
      </c>
      <c r="G21" s="31"/>
    </row>
    <row r="22" spans="1:7" x14ac:dyDescent="0.25">
      <c r="A22" s="3">
        <v>3213</v>
      </c>
      <c r="B22" s="21" t="s">
        <v>12</v>
      </c>
      <c r="C22" s="21"/>
      <c r="D22" s="31"/>
      <c r="E22" s="31"/>
      <c r="F22" s="31">
        <v>8000</v>
      </c>
      <c r="G22" s="31"/>
    </row>
    <row r="23" spans="1:7" x14ac:dyDescent="0.25">
      <c r="A23" s="3">
        <v>3214</v>
      </c>
      <c r="B23" s="21" t="s">
        <v>13</v>
      </c>
      <c r="C23" s="21"/>
      <c r="D23" s="31"/>
      <c r="E23" s="31"/>
      <c r="F23" s="31">
        <v>1000</v>
      </c>
      <c r="G23" s="31"/>
    </row>
    <row r="24" spans="1:7" x14ac:dyDescent="0.25">
      <c r="A24" s="2">
        <v>322</v>
      </c>
      <c r="B24" s="20" t="s">
        <v>14</v>
      </c>
      <c r="C24" s="20"/>
      <c r="D24" s="46">
        <v>64755</v>
      </c>
      <c r="E24" s="46">
        <v>64755</v>
      </c>
      <c r="F24" s="46">
        <f>F25+F26+F27+F28+F29</f>
        <v>64755</v>
      </c>
      <c r="G24" s="46">
        <f>E24/F24*100</f>
        <v>100</v>
      </c>
    </row>
    <row r="25" spans="1:7" x14ac:dyDescent="0.25">
      <c r="A25" s="3">
        <v>3221</v>
      </c>
      <c r="B25" s="21" t="s">
        <v>15</v>
      </c>
      <c r="C25" s="21"/>
      <c r="D25" s="31"/>
      <c r="E25" s="31"/>
      <c r="F25" s="31">
        <v>40000</v>
      </c>
      <c r="G25" s="31"/>
    </row>
    <row r="26" spans="1:7" x14ac:dyDescent="0.25">
      <c r="A26" s="3">
        <v>3222</v>
      </c>
      <c r="B26" s="21" t="s">
        <v>54</v>
      </c>
      <c r="C26" s="21"/>
      <c r="D26" s="31"/>
      <c r="E26" s="31"/>
      <c r="F26" s="31">
        <v>10100</v>
      </c>
      <c r="G26" s="31"/>
    </row>
    <row r="27" spans="1:7" x14ac:dyDescent="0.25">
      <c r="A27" s="3">
        <v>3224</v>
      </c>
      <c r="B27" s="21" t="s">
        <v>16</v>
      </c>
      <c r="C27" s="21"/>
      <c r="D27" s="31"/>
      <c r="E27" s="31"/>
      <c r="F27" s="31">
        <v>5000</v>
      </c>
      <c r="G27" s="31"/>
    </row>
    <row r="28" spans="1:7" x14ac:dyDescent="0.25">
      <c r="A28" s="3">
        <v>3225</v>
      </c>
      <c r="B28" s="21" t="s">
        <v>17</v>
      </c>
      <c r="C28" s="21"/>
      <c r="D28" s="31"/>
      <c r="E28" s="31"/>
      <c r="F28" s="31">
        <v>6655</v>
      </c>
      <c r="G28" s="31"/>
    </row>
    <row r="29" spans="1:7" x14ac:dyDescent="0.25">
      <c r="A29" s="3">
        <v>3227</v>
      </c>
      <c r="B29" s="21" t="s">
        <v>18</v>
      </c>
      <c r="C29" s="21"/>
      <c r="D29" s="21"/>
      <c r="E29" s="21"/>
      <c r="F29" s="21">
        <v>3000</v>
      </c>
      <c r="G29" s="21"/>
    </row>
    <row r="30" spans="1:7" x14ac:dyDescent="0.25">
      <c r="A30" s="2">
        <v>323</v>
      </c>
      <c r="B30" s="20" t="s">
        <v>20</v>
      </c>
      <c r="C30" s="20"/>
      <c r="D30" s="46">
        <v>83187.5</v>
      </c>
      <c r="E30" s="46">
        <v>83187.5</v>
      </c>
      <c r="F30" s="46">
        <f>F31+F32+F33+F34+F35+F36</f>
        <v>83187.5</v>
      </c>
      <c r="G30" s="46">
        <f>F30/E30*100</f>
        <v>100</v>
      </c>
    </row>
    <row r="31" spans="1:7" x14ac:dyDescent="0.25">
      <c r="A31" s="3">
        <v>3231</v>
      </c>
      <c r="B31" s="21" t="s">
        <v>19</v>
      </c>
      <c r="C31" s="21"/>
      <c r="D31" s="21"/>
      <c r="E31" s="21"/>
      <c r="F31" s="21">
        <v>6000</v>
      </c>
      <c r="G31" s="21"/>
    </row>
    <row r="32" spans="1:7" x14ac:dyDescent="0.25">
      <c r="A32" s="3">
        <v>3232</v>
      </c>
      <c r="B32" s="21" t="s">
        <v>21</v>
      </c>
      <c r="C32" s="21"/>
      <c r="D32" s="21"/>
      <c r="E32" s="21"/>
      <c r="F32" s="21">
        <v>6687.5</v>
      </c>
      <c r="G32" s="21"/>
    </row>
    <row r="33" spans="1:7" x14ac:dyDescent="0.25">
      <c r="A33" s="3">
        <v>3234</v>
      </c>
      <c r="B33" s="21" t="s">
        <v>22</v>
      </c>
      <c r="C33" s="21"/>
      <c r="D33" s="21"/>
      <c r="E33" s="21"/>
      <c r="F33" s="21">
        <v>40000</v>
      </c>
      <c r="G33" s="21"/>
    </row>
    <row r="34" spans="1:7" x14ac:dyDescent="0.25">
      <c r="A34" s="3">
        <v>3237</v>
      </c>
      <c r="B34" s="21" t="s">
        <v>155</v>
      </c>
      <c r="C34" s="21"/>
      <c r="D34" s="21"/>
      <c r="E34" s="21"/>
      <c r="F34" s="21">
        <v>500</v>
      </c>
      <c r="G34" s="21"/>
    </row>
    <row r="35" spans="1:7" x14ac:dyDescent="0.25">
      <c r="A35" s="3">
        <v>3238</v>
      </c>
      <c r="B35" s="21" t="s">
        <v>23</v>
      </c>
      <c r="C35" s="21"/>
      <c r="D35" s="21"/>
      <c r="E35" s="21"/>
      <c r="F35" s="21">
        <v>20000</v>
      </c>
      <c r="G35" s="21"/>
    </row>
    <row r="36" spans="1:7" x14ac:dyDescent="0.25">
      <c r="A36" s="3">
        <v>3239</v>
      </c>
      <c r="B36" s="21" t="s">
        <v>24</v>
      </c>
      <c r="C36" s="21"/>
      <c r="D36" s="21"/>
      <c r="E36" s="21"/>
      <c r="F36" s="21">
        <v>10000</v>
      </c>
      <c r="G36" s="21"/>
    </row>
    <row r="37" spans="1:7" x14ac:dyDescent="0.25">
      <c r="A37" s="2">
        <v>324</v>
      </c>
      <c r="B37" s="20" t="s">
        <v>186</v>
      </c>
      <c r="C37" s="21"/>
      <c r="D37" s="46">
        <v>1010</v>
      </c>
      <c r="E37" s="46">
        <v>1010</v>
      </c>
      <c r="F37" s="46">
        <v>1010</v>
      </c>
      <c r="G37" s="46">
        <f>F37/E37*100</f>
        <v>100</v>
      </c>
    </row>
    <row r="38" spans="1:7" x14ac:dyDescent="0.25">
      <c r="A38" s="3">
        <v>3241</v>
      </c>
      <c r="B38" s="21" t="s">
        <v>186</v>
      </c>
      <c r="C38" s="21"/>
      <c r="D38" s="21"/>
      <c r="E38" s="21"/>
      <c r="F38" s="31">
        <v>1010</v>
      </c>
      <c r="G38" s="31"/>
    </row>
    <row r="39" spans="1:7" x14ac:dyDescent="0.25">
      <c r="A39" s="3"/>
      <c r="B39" s="21"/>
      <c r="C39" s="21"/>
      <c r="D39" s="21"/>
      <c r="E39" s="21"/>
      <c r="F39" s="31"/>
      <c r="G39" s="31"/>
    </row>
    <row r="40" spans="1:7" x14ac:dyDescent="0.25">
      <c r="A40" s="2">
        <v>329</v>
      </c>
      <c r="B40" s="20" t="s">
        <v>25</v>
      </c>
      <c r="C40" s="20"/>
      <c r="D40" s="20">
        <v>7583.5</v>
      </c>
      <c r="E40" s="20">
        <v>7583.5</v>
      </c>
      <c r="F40" s="46">
        <f>F41+F42+F43</f>
        <v>7583.5</v>
      </c>
      <c r="G40" s="46">
        <f>F40/E40*100</f>
        <v>100</v>
      </c>
    </row>
    <row r="41" spans="1:7" x14ac:dyDescent="0.25">
      <c r="A41" s="3">
        <v>3294</v>
      </c>
      <c r="B41" s="21" t="s">
        <v>26</v>
      </c>
      <c r="C41" s="21"/>
      <c r="D41" s="21"/>
      <c r="E41" s="21"/>
      <c r="F41" s="31">
        <v>1000</v>
      </c>
      <c r="G41" s="31"/>
    </row>
    <row r="42" spans="1:7" x14ac:dyDescent="0.25">
      <c r="A42" s="3">
        <v>3295</v>
      </c>
      <c r="B42" s="21" t="s">
        <v>27</v>
      </c>
      <c r="C42" s="21"/>
      <c r="D42" s="21"/>
      <c r="E42" s="21"/>
      <c r="F42" s="31">
        <v>750</v>
      </c>
      <c r="G42" s="31"/>
    </row>
    <row r="43" spans="1:7" x14ac:dyDescent="0.25">
      <c r="A43" s="3">
        <v>3299</v>
      </c>
      <c r="B43" s="21" t="s">
        <v>28</v>
      </c>
      <c r="C43" s="21"/>
      <c r="D43" s="21"/>
      <c r="E43" s="21"/>
      <c r="F43" s="31">
        <v>5833.5</v>
      </c>
      <c r="G43" s="31"/>
    </row>
    <row r="44" spans="1:7" x14ac:dyDescent="0.25">
      <c r="A44" s="2">
        <v>343</v>
      </c>
      <c r="B44" s="20" t="s">
        <v>30</v>
      </c>
      <c r="C44" s="20"/>
      <c r="D44" s="46">
        <v>4200</v>
      </c>
      <c r="E44" s="46">
        <v>4200</v>
      </c>
      <c r="F44" s="46">
        <v>4200</v>
      </c>
      <c r="G44" s="46">
        <f>E44/F44*100</f>
        <v>100</v>
      </c>
    </row>
    <row r="45" spans="1:7" x14ac:dyDescent="0.25">
      <c r="A45" s="3">
        <v>3431</v>
      </c>
      <c r="B45" s="21" t="s">
        <v>29</v>
      </c>
      <c r="C45" s="21"/>
      <c r="D45" s="21"/>
      <c r="E45" s="21"/>
      <c r="F45" s="31">
        <v>4200</v>
      </c>
      <c r="G45" s="31"/>
    </row>
    <row r="46" spans="1:7" x14ac:dyDescent="0.25">
      <c r="A46" s="5" t="s">
        <v>31</v>
      </c>
      <c r="B46" s="18" t="s">
        <v>32</v>
      </c>
      <c r="C46" s="18"/>
      <c r="D46" s="18">
        <f>D47+D50</f>
        <v>516519.1</v>
      </c>
      <c r="E46" s="18">
        <f>E47+E50</f>
        <v>516519.1</v>
      </c>
      <c r="F46" s="18">
        <f>F47+F50</f>
        <v>516570.12</v>
      </c>
      <c r="G46" s="18">
        <f>F46/E46*100</f>
        <v>100.0098776598968</v>
      </c>
    </row>
    <row r="47" spans="1:7" x14ac:dyDescent="0.25">
      <c r="A47" s="2">
        <v>323</v>
      </c>
      <c r="B47" s="20" t="s">
        <v>20</v>
      </c>
      <c r="C47" s="20"/>
      <c r="D47" s="46">
        <v>25219</v>
      </c>
      <c r="E47" s="46">
        <v>25219</v>
      </c>
      <c r="F47" s="20">
        <f>F48+F49</f>
        <v>25218.720000000001</v>
      </c>
      <c r="G47" s="20">
        <f>F47/E47*100</f>
        <v>99.998889726000243</v>
      </c>
    </row>
    <row r="48" spans="1:7" x14ac:dyDescent="0.25">
      <c r="A48" s="3">
        <v>3235</v>
      </c>
      <c r="B48" s="21" t="s">
        <v>33</v>
      </c>
      <c r="C48" s="21"/>
      <c r="D48" s="21"/>
      <c r="E48" s="21"/>
      <c r="F48" s="21">
        <v>17718.72</v>
      </c>
      <c r="G48" s="21"/>
    </row>
    <row r="49" spans="1:7" x14ac:dyDescent="0.25">
      <c r="A49" s="3">
        <v>3236</v>
      </c>
      <c r="B49" s="21" t="s">
        <v>34</v>
      </c>
      <c r="C49" s="21"/>
      <c r="D49" s="21"/>
      <c r="E49" s="21"/>
      <c r="F49" s="21">
        <v>7500</v>
      </c>
      <c r="G49" s="21"/>
    </row>
    <row r="50" spans="1:7" x14ac:dyDescent="0.25">
      <c r="A50" s="2">
        <v>372</v>
      </c>
      <c r="B50" s="20" t="s">
        <v>35</v>
      </c>
      <c r="C50" s="20"/>
      <c r="D50" s="20">
        <v>491300.1</v>
      </c>
      <c r="E50" s="20">
        <v>491300.1</v>
      </c>
      <c r="F50" s="20">
        <v>491351.4</v>
      </c>
      <c r="G50" s="20">
        <f>F50/E50*100</f>
        <v>100.01044168319935</v>
      </c>
    </row>
    <row r="51" spans="1:7" x14ac:dyDescent="0.25">
      <c r="A51" s="3">
        <v>3722</v>
      </c>
      <c r="B51" s="21" t="s">
        <v>36</v>
      </c>
      <c r="C51" s="21"/>
      <c r="D51" s="21"/>
      <c r="E51" s="21"/>
      <c r="F51" s="21">
        <v>396839.7</v>
      </c>
      <c r="G51" s="21"/>
    </row>
    <row r="52" spans="1:7" x14ac:dyDescent="0.25">
      <c r="A52" s="5" t="s">
        <v>37</v>
      </c>
      <c r="B52" s="18" t="s">
        <v>38</v>
      </c>
      <c r="C52" s="18"/>
      <c r="D52" s="19">
        <v>4500</v>
      </c>
      <c r="E52" s="19">
        <v>4500</v>
      </c>
      <c r="F52" s="19">
        <v>3580</v>
      </c>
      <c r="G52" s="18">
        <f>F52/E52*100</f>
        <v>79.555555555555557</v>
      </c>
    </row>
    <row r="53" spans="1:7" x14ac:dyDescent="0.25">
      <c r="A53" s="3">
        <v>329</v>
      </c>
      <c r="B53" s="21" t="s">
        <v>39</v>
      </c>
      <c r="C53" s="21"/>
      <c r="D53" s="31">
        <v>4500</v>
      </c>
      <c r="E53" s="31">
        <v>4500</v>
      </c>
      <c r="F53" s="31">
        <v>3580</v>
      </c>
      <c r="G53" s="21">
        <f>F53/E53*100</f>
        <v>79.555555555555557</v>
      </c>
    </row>
    <row r="54" spans="1:7" x14ac:dyDescent="0.25">
      <c r="A54" s="3">
        <v>3292</v>
      </c>
      <c r="B54" s="21" t="s">
        <v>40</v>
      </c>
      <c r="C54" s="21"/>
      <c r="D54" s="31"/>
      <c r="E54" s="31"/>
      <c r="F54" s="31">
        <v>3580</v>
      </c>
      <c r="G54" s="21"/>
    </row>
    <row r="55" spans="1:7" x14ac:dyDescent="0.25">
      <c r="A55" s="3"/>
      <c r="B55" s="3" t="s">
        <v>126</v>
      </c>
      <c r="C55" s="12"/>
      <c r="D55" s="13" t="s">
        <v>140</v>
      </c>
      <c r="E55" s="6" t="s">
        <v>141</v>
      </c>
      <c r="F55" s="6" t="s">
        <v>7</v>
      </c>
      <c r="G55" s="6" t="s">
        <v>5</v>
      </c>
    </row>
    <row r="56" spans="1:7" x14ac:dyDescent="0.25">
      <c r="A56" s="38" t="s">
        <v>164</v>
      </c>
      <c r="B56" s="38" t="s">
        <v>165</v>
      </c>
      <c r="C56" s="38"/>
      <c r="D56" s="38">
        <f>D57+D61+D63+D65+D69</f>
        <v>5032000</v>
      </c>
      <c r="E56" s="38">
        <f>E57+E61+E63+E65+E69</f>
        <v>5032000</v>
      </c>
      <c r="F56" s="38">
        <f>F57+F61+F63+F65+F69</f>
        <v>5092137.75</v>
      </c>
      <c r="G56" s="38">
        <f>F56/E56*100</f>
        <v>101.19510631955484</v>
      </c>
    </row>
    <row r="57" spans="1:7" x14ac:dyDescent="0.25">
      <c r="A57" s="2">
        <v>311</v>
      </c>
      <c r="B57" s="20" t="s">
        <v>166</v>
      </c>
      <c r="C57" s="20">
        <v>5</v>
      </c>
      <c r="D57" s="20">
        <v>4085000</v>
      </c>
      <c r="E57" s="20">
        <v>4085000</v>
      </c>
      <c r="F57" s="20">
        <f>F58+F59+F60</f>
        <v>4075000.3099999996</v>
      </c>
      <c r="G57" s="20">
        <f>F57/E57*100</f>
        <v>99.755209547123613</v>
      </c>
    </row>
    <row r="58" spans="1:7" x14ac:dyDescent="0.25">
      <c r="A58" s="3">
        <v>3111</v>
      </c>
      <c r="B58" s="21" t="s">
        <v>167</v>
      </c>
      <c r="C58" s="21"/>
      <c r="D58" s="21"/>
      <c r="E58" s="21"/>
      <c r="F58" s="21">
        <v>4042516.11</v>
      </c>
      <c r="G58" s="21"/>
    </row>
    <row r="59" spans="1:7" x14ac:dyDescent="0.25">
      <c r="A59" s="3">
        <v>3113</v>
      </c>
      <c r="B59" s="21" t="s">
        <v>168</v>
      </c>
      <c r="C59" s="21"/>
      <c r="D59" s="21"/>
      <c r="E59" s="21"/>
      <c r="F59" s="21">
        <v>30683.67</v>
      </c>
      <c r="G59" s="21"/>
    </row>
    <row r="60" spans="1:7" x14ac:dyDescent="0.25">
      <c r="A60" s="3">
        <v>3114</v>
      </c>
      <c r="B60" s="21" t="s">
        <v>169</v>
      </c>
      <c r="C60" s="21"/>
      <c r="D60" s="21"/>
      <c r="E60" s="21"/>
      <c r="F60" s="21">
        <v>1800.53</v>
      </c>
      <c r="G60" s="21"/>
    </row>
    <row r="61" spans="1:7" x14ac:dyDescent="0.25">
      <c r="A61" s="2">
        <v>312</v>
      </c>
      <c r="B61" s="20" t="s">
        <v>170</v>
      </c>
      <c r="C61" s="20"/>
      <c r="D61" s="46">
        <v>110000</v>
      </c>
      <c r="E61" s="46">
        <v>110000</v>
      </c>
      <c r="F61" s="20">
        <f>F62</f>
        <v>187446.66</v>
      </c>
      <c r="G61" s="20">
        <v>100</v>
      </c>
    </row>
    <row r="62" spans="1:7" x14ac:dyDescent="0.25">
      <c r="A62" s="3">
        <v>3121</v>
      </c>
      <c r="B62" s="21" t="s">
        <v>171</v>
      </c>
      <c r="C62" s="21"/>
      <c r="D62" s="31"/>
      <c r="E62" s="31"/>
      <c r="F62" s="21">
        <v>187446.66</v>
      </c>
      <c r="G62" s="21"/>
    </row>
    <row r="63" spans="1:7" x14ac:dyDescent="0.25">
      <c r="A63" s="2">
        <v>313</v>
      </c>
      <c r="B63" s="20" t="s">
        <v>70</v>
      </c>
      <c r="C63" s="20"/>
      <c r="D63" s="46">
        <v>670000</v>
      </c>
      <c r="E63" s="46">
        <v>670000</v>
      </c>
      <c r="F63" s="20">
        <f>F64</f>
        <v>671435.74</v>
      </c>
      <c r="G63" s="20">
        <f>F63/E63*100</f>
        <v>100.21428955223881</v>
      </c>
    </row>
    <row r="64" spans="1:7" x14ac:dyDescent="0.25">
      <c r="A64" s="39">
        <v>3132</v>
      </c>
      <c r="B64" s="21" t="s">
        <v>172</v>
      </c>
      <c r="C64" s="21"/>
      <c r="D64" s="31"/>
      <c r="E64" s="31"/>
      <c r="F64" s="21">
        <v>671435.74</v>
      </c>
      <c r="G64" s="21"/>
    </row>
    <row r="65" spans="1:7" x14ac:dyDescent="0.25">
      <c r="A65" s="45">
        <v>321</v>
      </c>
      <c r="B65" s="20" t="s">
        <v>173</v>
      </c>
      <c r="C65" s="20"/>
      <c r="D65" s="46">
        <v>147000</v>
      </c>
      <c r="E65" s="46">
        <v>147000</v>
      </c>
      <c r="F65" s="20">
        <f>F66</f>
        <v>141855.04000000001</v>
      </c>
      <c r="G65" s="20">
        <f>F65/E65*100</f>
        <v>96.500027210884355</v>
      </c>
    </row>
    <row r="66" spans="1:7" x14ac:dyDescent="0.25">
      <c r="A66" s="39">
        <v>3212</v>
      </c>
      <c r="B66" s="21" t="s">
        <v>174</v>
      </c>
      <c r="C66" s="21"/>
      <c r="D66" s="31"/>
      <c r="E66" s="31"/>
      <c r="F66" s="21">
        <v>141855.04000000001</v>
      </c>
      <c r="G66" s="21"/>
    </row>
    <row r="67" spans="1:7" x14ac:dyDescent="0.25">
      <c r="A67" s="45">
        <v>323</v>
      </c>
      <c r="B67" s="20" t="s">
        <v>20</v>
      </c>
      <c r="C67" s="20"/>
      <c r="D67" s="46">
        <v>0</v>
      </c>
      <c r="E67" s="46">
        <v>0</v>
      </c>
      <c r="F67" s="20">
        <v>0</v>
      </c>
      <c r="G67" s="46">
        <v>0</v>
      </c>
    </row>
    <row r="68" spans="1:7" x14ac:dyDescent="0.25">
      <c r="A68" s="39">
        <v>3237</v>
      </c>
      <c r="B68" s="21" t="s">
        <v>159</v>
      </c>
      <c r="C68" s="21"/>
      <c r="D68" s="31"/>
      <c r="E68" s="31"/>
      <c r="F68" s="21">
        <v>0</v>
      </c>
      <c r="G68" s="31"/>
    </row>
    <row r="69" spans="1:7" x14ac:dyDescent="0.25">
      <c r="A69" s="45">
        <v>329</v>
      </c>
      <c r="B69" s="20" t="s">
        <v>175</v>
      </c>
      <c r="C69" s="20"/>
      <c r="D69" s="46">
        <v>20000</v>
      </c>
      <c r="E69" s="46">
        <v>20000</v>
      </c>
      <c r="F69" s="20">
        <f>F70</f>
        <v>16400</v>
      </c>
      <c r="G69" s="46">
        <f>F69/E69*100</f>
        <v>82</v>
      </c>
    </row>
    <row r="70" spans="1:7" x14ac:dyDescent="0.25">
      <c r="A70" s="39">
        <v>3295</v>
      </c>
      <c r="B70" s="21" t="s">
        <v>27</v>
      </c>
      <c r="C70" s="21"/>
      <c r="D70" s="21"/>
      <c r="E70" s="21"/>
      <c r="F70" s="21">
        <v>16400</v>
      </c>
      <c r="G70" s="21"/>
    </row>
    <row r="71" spans="1:7" x14ac:dyDescent="0.25">
      <c r="B71" s="22"/>
      <c r="C71" s="22"/>
      <c r="D71" s="22"/>
      <c r="E71" s="22"/>
      <c r="F71" s="22"/>
      <c r="G71" s="22"/>
    </row>
    <row r="72" spans="1:7" x14ac:dyDescent="0.25">
      <c r="A72" s="7">
        <v>2102</v>
      </c>
      <c r="B72" s="24" t="s">
        <v>41</v>
      </c>
      <c r="C72" s="24"/>
      <c r="D72" s="48">
        <f>D74+D76</f>
        <v>218500</v>
      </c>
      <c r="E72" s="48">
        <f>E74+E76</f>
        <v>218500</v>
      </c>
      <c r="F72" s="24">
        <f>F73</f>
        <v>199547.38</v>
      </c>
      <c r="G72" s="24">
        <f>F72/E72*100</f>
        <v>91.32603203661327</v>
      </c>
    </row>
    <row r="73" spans="1:7" x14ac:dyDescent="0.25">
      <c r="A73" s="5" t="s">
        <v>42</v>
      </c>
      <c r="B73" s="18" t="s">
        <v>43</v>
      </c>
      <c r="C73" s="18"/>
      <c r="D73" s="19">
        <f>D74+D76</f>
        <v>218500</v>
      </c>
      <c r="E73" s="19">
        <f>E74+E76</f>
        <v>218500</v>
      </c>
      <c r="F73" s="18">
        <f>F74+F76</f>
        <v>199547.38</v>
      </c>
      <c r="G73" s="18">
        <f>F73/E73*100</f>
        <v>91.32603203661327</v>
      </c>
    </row>
    <row r="74" spans="1:7" x14ac:dyDescent="0.25">
      <c r="A74" s="2">
        <v>322</v>
      </c>
      <c r="B74" s="20" t="s">
        <v>14</v>
      </c>
      <c r="C74" s="20"/>
      <c r="D74" s="46">
        <v>210000</v>
      </c>
      <c r="E74" s="46">
        <v>210000</v>
      </c>
      <c r="F74" s="20">
        <f>F75</f>
        <v>191082.17</v>
      </c>
      <c r="G74" s="46">
        <f>F74/E74*100</f>
        <v>90.991509523809526</v>
      </c>
    </row>
    <row r="75" spans="1:7" x14ac:dyDescent="0.25">
      <c r="A75" s="3">
        <v>3223</v>
      </c>
      <c r="B75" s="21" t="s">
        <v>44</v>
      </c>
      <c r="C75" s="21"/>
      <c r="D75" s="31"/>
      <c r="E75" s="31"/>
      <c r="F75" s="21">
        <v>191082.17</v>
      </c>
      <c r="G75" s="31"/>
    </row>
    <row r="76" spans="1:7" x14ac:dyDescent="0.25">
      <c r="A76" s="2">
        <v>329</v>
      </c>
      <c r="B76" s="20" t="s">
        <v>45</v>
      </c>
      <c r="C76" s="20"/>
      <c r="D76" s="46">
        <v>8500</v>
      </c>
      <c r="E76" s="46">
        <v>8500</v>
      </c>
      <c r="F76" s="20">
        <f>F77</f>
        <v>8465.2099999999991</v>
      </c>
      <c r="G76" s="46">
        <f>F76/E76*100</f>
        <v>99.590705882352921</v>
      </c>
    </row>
    <row r="77" spans="1:7" x14ac:dyDescent="0.25">
      <c r="A77" s="3">
        <v>3292</v>
      </c>
      <c r="B77" s="21" t="s">
        <v>40</v>
      </c>
      <c r="C77" s="21"/>
      <c r="D77" s="21"/>
      <c r="E77" s="21"/>
      <c r="F77" s="21">
        <v>8465.2099999999991</v>
      </c>
      <c r="G77" s="21"/>
    </row>
    <row r="78" spans="1:7" x14ac:dyDescent="0.25">
      <c r="B78" s="22"/>
      <c r="C78" s="22"/>
      <c r="D78" s="22"/>
      <c r="E78" s="22"/>
      <c r="F78" s="22"/>
      <c r="G78" s="22"/>
    </row>
    <row r="79" spans="1:7" x14ac:dyDescent="0.25">
      <c r="A79" s="7">
        <v>2301</v>
      </c>
      <c r="B79" s="24" t="s">
        <v>116</v>
      </c>
      <c r="C79" s="24"/>
      <c r="D79" s="48">
        <f>D80+E85+D88+D106+D121+D130+D137+D141+D151+D156+D165+D180+D183+D187+D192+D197+D202</f>
        <v>1329611.1800000002</v>
      </c>
      <c r="E79" s="48">
        <f>E80+E85+E88+E106+E121+E130+E137+E141+E151+E156+E165+E180+E183+E187+E192+E197+E202</f>
        <v>1329611.1800000002</v>
      </c>
      <c r="F79" s="48">
        <f>F80+F85+F88+F106+F121+F130+F137+F141+F151+F156+F165+FF180+F183+F187+F192+F202</f>
        <v>1163673.18</v>
      </c>
      <c r="G79" s="24">
        <f>F79/E79*100</f>
        <v>87.519810114713366</v>
      </c>
    </row>
    <row r="80" spans="1:7" x14ac:dyDescent="0.25">
      <c r="A80" s="5" t="s">
        <v>31</v>
      </c>
      <c r="B80" s="18" t="s">
        <v>46</v>
      </c>
      <c r="C80" s="18"/>
      <c r="D80" s="19">
        <f>D81+D83</f>
        <v>3200</v>
      </c>
      <c r="E80" s="19">
        <f>E81+E83</f>
        <v>3200</v>
      </c>
      <c r="F80" s="19">
        <f>F81+F83</f>
        <v>2700</v>
      </c>
      <c r="G80" s="18">
        <f>F80/E80*100</f>
        <v>84.375</v>
      </c>
    </row>
    <row r="81" spans="1:7" x14ac:dyDescent="0.25">
      <c r="A81" s="2">
        <v>321</v>
      </c>
      <c r="B81" s="20" t="s">
        <v>11</v>
      </c>
      <c r="C81" s="20"/>
      <c r="D81" s="46">
        <v>200</v>
      </c>
      <c r="E81" s="46">
        <v>200</v>
      </c>
      <c r="F81" s="46">
        <v>200</v>
      </c>
      <c r="G81" s="46">
        <f>F81/E81*100</f>
        <v>100</v>
      </c>
    </row>
    <row r="82" spans="1:7" x14ac:dyDescent="0.25">
      <c r="A82" s="3">
        <v>3211</v>
      </c>
      <c r="B82" s="21" t="s">
        <v>10</v>
      </c>
      <c r="C82" s="21"/>
      <c r="D82" s="31"/>
      <c r="E82" s="31"/>
      <c r="F82" s="31">
        <v>160</v>
      </c>
      <c r="G82" s="21"/>
    </row>
    <row r="83" spans="1:7" x14ac:dyDescent="0.25">
      <c r="A83" s="2">
        <v>372</v>
      </c>
      <c r="B83" s="20" t="s">
        <v>187</v>
      </c>
      <c r="C83" s="20"/>
      <c r="D83" s="46">
        <v>3000</v>
      </c>
      <c r="E83" s="46">
        <v>3000</v>
      </c>
      <c r="F83" s="20">
        <v>2500</v>
      </c>
      <c r="G83" s="20">
        <f>F83/E83*100</f>
        <v>83.333333333333343</v>
      </c>
    </row>
    <row r="84" spans="1:7" x14ac:dyDescent="0.25">
      <c r="A84" s="3">
        <v>3722</v>
      </c>
      <c r="B84" s="21" t="s">
        <v>36</v>
      </c>
      <c r="C84" s="21"/>
      <c r="D84" s="21"/>
      <c r="E84" s="21"/>
      <c r="F84" s="21">
        <v>2500</v>
      </c>
      <c r="G84" s="21"/>
    </row>
    <row r="85" spans="1:7" x14ac:dyDescent="0.25">
      <c r="A85" s="5" t="s">
        <v>48</v>
      </c>
      <c r="B85" s="18" t="s">
        <v>49</v>
      </c>
      <c r="C85" s="18"/>
      <c r="D85" s="18">
        <v>17162.39</v>
      </c>
      <c r="E85" s="18">
        <v>17162.39</v>
      </c>
      <c r="F85" s="18">
        <v>17162.39</v>
      </c>
      <c r="G85" s="18">
        <f>F85/E85*100</f>
        <v>100</v>
      </c>
    </row>
    <row r="86" spans="1:7" x14ac:dyDescent="0.25">
      <c r="A86" s="2">
        <v>323</v>
      </c>
      <c r="B86" s="20" t="s">
        <v>20</v>
      </c>
      <c r="C86" s="20"/>
      <c r="D86" s="20">
        <v>17162.39</v>
      </c>
      <c r="E86" s="20">
        <v>17162.39</v>
      </c>
      <c r="F86" s="20">
        <v>17162.39</v>
      </c>
      <c r="G86" s="20">
        <f>F86/E86*100</f>
        <v>100</v>
      </c>
    </row>
    <row r="87" spans="1:7" x14ac:dyDescent="0.25">
      <c r="A87" s="3">
        <v>3237</v>
      </c>
      <c r="B87" s="20" t="s">
        <v>50</v>
      </c>
      <c r="C87" s="21"/>
      <c r="D87" s="21"/>
      <c r="E87" s="21"/>
      <c r="F87" s="21">
        <v>17162.39</v>
      </c>
      <c r="G87" s="21"/>
    </row>
    <row r="88" spans="1:7" x14ac:dyDescent="0.25">
      <c r="A88" s="5" t="s">
        <v>51</v>
      </c>
      <c r="B88" s="18" t="s">
        <v>52</v>
      </c>
      <c r="C88" s="18"/>
      <c r="D88" s="19">
        <v>456000</v>
      </c>
      <c r="E88" s="19">
        <f>E89+E90+E98+E103</f>
        <v>456000</v>
      </c>
      <c r="F88" s="18">
        <f>F90+F98+F103</f>
        <v>368045.51</v>
      </c>
      <c r="G88" s="18">
        <f>F88/E88*100</f>
        <v>80.711734649122818</v>
      </c>
    </row>
    <row r="89" spans="1:7" x14ac:dyDescent="0.25">
      <c r="A89" s="20">
        <v>321</v>
      </c>
      <c r="B89" s="20" t="s">
        <v>11</v>
      </c>
      <c r="C89" s="20"/>
      <c r="D89" s="46">
        <v>1400</v>
      </c>
      <c r="E89" s="46">
        <v>1400</v>
      </c>
      <c r="F89" s="20">
        <v>0</v>
      </c>
      <c r="G89" s="20">
        <v>0</v>
      </c>
    </row>
    <row r="90" spans="1:7" x14ac:dyDescent="0.25">
      <c r="A90" s="2">
        <v>322</v>
      </c>
      <c r="B90" s="20" t="s">
        <v>14</v>
      </c>
      <c r="C90" s="20"/>
      <c r="D90" s="46">
        <v>433000</v>
      </c>
      <c r="E90" s="46">
        <v>433000</v>
      </c>
      <c r="F90" s="46">
        <f>F91+F92+F93+F94+F95+F96+F97</f>
        <v>355425.92</v>
      </c>
      <c r="G90" s="20">
        <f>F90/E90*100</f>
        <v>82.084508083140875</v>
      </c>
    </row>
    <row r="91" spans="1:7" x14ac:dyDescent="0.25">
      <c r="A91" s="3">
        <v>3221</v>
      </c>
      <c r="B91" s="21" t="s">
        <v>53</v>
      </c>
      <c r="C91" s="21"/>
      <c r="D91" s="31"/>
      <c r="E91" s="31"/>
      <c r="F91" s="31">
        <v>2000</v>
      </c>
      <c r="G91" s="21"/>
    </row>
    <row r="92" spans="1:7" x14ac:dyDescent="0.25">
      <c r="A92" s="3">
        <v>3222</v>
      </c>
      <c r="B92" s="21" t="s">
        <v>54</v>
      </c>
      <c r="C92" s="21"/>
      <c r="D92" s="31"/>
      <c r="E92" s="31"/>
      <c r="F92" s="21">
        <v>305564.99</v>
      </c>
      <c r="G92" s="21"/>
    </row>
    <row r="93" spans="1:7" x14ac:dyDescent="0.25">
      <c r="A93" s="3">
        <v>3222</v>
      </c>
      <c r="B93" s="21" t="s">
        <v>56</v>
      </c>
      <c r="C93" s="21"/>
      <c r="D93" s="31"/>
      <c r="E93" s="31"/>
      <c r="F93" s="21">
        <v>31331</v>
      </c>
      <c r="G93" s="21"/>
    </row>
    <row r="94" spans="1:7" x14ac:dyDescent="0.25">
      <c r="A94" s="3">
        <v>3222</v>
      </c>
      <c r="B94" s="21" t="s">
        <v>55</v>
      </c>
      <c r="C94" s="21"/>
      <c r="D94" s="31"/>
      <c r="E94" s="31"/>
      <c r="F94" s="21">
        <v>12293</v>
      </c>
      <c r="G94" s="21"/>
    </row>
    <row r="95" spans="1:7" x14ac:dyDescent="0.25">
      <c r="A95" s="3">
        <v>3223</v>
      </c>
      <c r="B95" s="21" t="s">
        <v>44</v>
      </c>
      <c r="C95" s="21"/>
      <c r="D95" s="31"/>
      <c r="E95" s="31"/>
      <c r="F95" s="21">
        <v>2040.5</v>
      </c>
      <c r="G95" s="21"/>
    </row>
    <row r="96" spans="1:7" x14ac:dyDescent="0.25">
      <c r="A96" s="3">
        <v>3224</v>
      </c>
      <c r="B96" s="21" t="s">
        <v>16</v>
      </c>
      <c r="C96" s="21"/>
      <c r="D96" s="31"/>
      <c r="E96" s="31"/>
      <c r="F96" s="21">
        <v>596.44000000000005</v>
      </c>
      <c r="G96" s="21"/>
    </row>
    <row r="97" spans="1:7" x14ac:dyDescent="0.25">
      <c r="A97" s="3">
        <v>3227</v>
      </c>
      <c r="B97" s="21" t="s">
        <v>57</v>
      </c>
      <c r="C97" s="21"/>
      <c r="D97" s="31"/>
      <c r="E97" s="31"/>
      <c r="F97" s="21">
        <v>1599.99</v>
      </c>
      <c r="G97" s="21"/>
    </row>
    <row r="98" spans="1:7" x14ac:dyDescent="0.25">
      <c r="A98" s="2">
        <v>323</v>
      </c>
      <c r="B98" s="20" t="s">
        <v>20</v>
      </c>
      <c r="C98" s="20"/>
      <c r="D98" s="46">
        <v>20400</v>
      </c>
      <c r="E98" s="46">
        <v>20400</v>
      </c>
      <c r="F98" s="46">
        <f>F99+F100+F101+F102</f>
        <v>11419.59</v>
      </c>
      <c r="G98" s="20">
        <f>F98/E98*100</f>
        <v>55.978382352941182</v>
      </c>
    </row>
    <row r="99" spans="1:7" x14ac:dyDescent="0.25">
      <c r="A99" s="3">
        <v>3231</v>
      </c>
      <c r="B99" s="21" t="s">
        <v>58</v>
      </c>
      <c r="C99" s="21"/>
      <c r="D99" s="31"/>
      <c r="E99" s="31"/>
      <c r="F99" s="21">
        <v>954.59</v>
      </c>
      <c r="G99" s="21"/>
    </row>
    <row r="100" spans="1:7" x14ac:dyDescent="0.25">
      <c r="A100" s="3">
        <v>3232</v>
      </c>
      <c r="B100" s="21" t="s">
        <v>21</v>
      </c>
      <c r="C100" s="21"/>
      <c r="D100" s="31"/>
      <c r="E100" s="31"/>
      <c r="F100" s="21">
        <v>5487.5</v>
      </c>
      <c r="G100" s="21"/>
    </row>
    <row r="101" spans="1:7" x14ac:dyDescent="0.25">
      <c r="A101" s="3">
        <v>3236</v>
      </c>
      <c r="B101" s="21" t="s">
        <v>59</v>
      </c>
      <c r="C101" s="21"/>
      <c r="D101" s="31"/>
      <c r="E101" s="31"/>
      <c r="F101" s="21">
        <v>4202.5</v>
      </c>
      <c r="G101" s="21"/>
    </row>
    <row r="102" spans="1:7" x14ac:dyDescent="0.25">
      <c r="A102" s="3">
        <v>3238</v>
      </c>
      <c r="B102" s="21" t="s">
        <v>60</v>
      </c>
      <c r="C102" s="21"/>
      <c r="D102" s="31"/>
      <c r="E102" s="31"/>
      <c r="F102" s="31">
        <v>775</v>
      </c>
      <c r="G102" s="21"/>
    </row>
    <row r="103" spans="1:7" x14ac:dyDescent="0.25">
      <c r="A103" s="2">
        <v>343</v>
      </c>
      <c r="B103" s="20" t="s">
        <v>61</v>
      </c>
      <c r="C103" s="20"/>
      <c r="D103" s="46">
        <v>1200</v>
      </c>
      <c r="E103" s="46">
        <v>1200</v>
      </c>
      <c r="F103" s="46">
        <v>1200</v>
      </c>
      <c r="G103" s="46">
        <f>F103/E103*100</f>
        <v>100</v>
      </c>
    </row>
    <row r="104" spans="1:7" x14ac:dyDescent="0.25">
      <c r="A104" s="3">
        <v>3431</v>
      </c>
      <c r="B104" s="21" t="s">
        <v>62</v>
      </c>
      <c r="C104" s="21"/>
      <c r="D104" s="21"/>
      <c r="E104" s="21"/>
      <c r="F104" s="31">
        <v>1200</v>
      </c>
      <c r="G104" s="21"/>
    </row>
    <row r="105" spans="1:7" x14ac:dyDescent="0.25">
      <c r="A105" s="3"/>
      <c r="B105" s="21" t="s">
        <v>126</v>
      </c>
      <c r="C105" s="23"/>
      <c r="D105" s="13" t="s">
        <v>140</v>
      </c>
      <c r="E105" s="13" t="s">
        <v>141</v>
      </c>
      <c r="F105" s="13" t="s">
        <v>7</v>
      </c>
      <c r="G105" s="13" t="s">
        <v>5</v>
      </c>
    </row>
    <row r="106" spans="1:7" x14ac:dyDescent="0.25">
      <c r="A106" s="5" t="s">
        <v>63</v>
      </c>
      <c r="B106" s="18" t="s">
        <v>64</v>
      </c>
      <c r="C106" s="18"/>
      <c r="D106" s="19">
        <f>D107+D110+D113+D116</f>
        <v>616870</v>
      </c>
      <c r="E106" s="19">
        <f>E107+E110+E113+E116</f>
        <v>616870</v>
      </c>
      <c r="F106" s="19">
        <f>F107+F110+F113+F116</f>
        <v>613633.81000000006</v>
      </c>
      <c r="G106" s="18">
        <f>F106/E106*100</f>
        <v>99.47538541345827</v>
      </c>
    </row>
    <row r="107" spans="1:7" x14ac:dyDescent="0.25">
      <c r="A107" s="2">
        <v>311</v>
      </c>
      <c r="B107" s="20" t="s">
        <v>65</v>
      </c>
      <c r="C107" s="20"/>
      <c r="D107" s="46">
        <v>426870</v>
      </c>
      <c r="E107" s="46">
        <v>426870</v>
      </c>
      <c r="F107" s="47">
        <f>F108+F109</f>
        <v>471185.10000000003</v>
      </c>
      <c r="G107" s="20">
        <f>F107/E107*100</f>
        <v>110.38140417457308</v>
      </c>
    </row>
    <row r="108" spans="1:7" x14ac:dyDescent="0.25">
      <c r="A108" s="3">
        <v>3111</v>
      </c>
      <c r="B108" s="21" t="s">
        <v>66</v>
      </c>
      <c r="C108" s="21"/>
      <c r="D108" s="31"/>
      <c r="E108" s="31"/>
      <c r="F108" s="21">
        <v>332736.65000000002</v>
      </c>
      <c r="G108" s="21"/>
    </row>
    <row r="109" spans="1:7" x14ac:dyDescent="0.25">
      <c r="A109" s="3">
        <v>3111</v>
      </c>
      <c r="B109" s="21" t="s">
        <v>67</v>
      </c>
      <c r="C109" s="21"/>
      <c r="D109" s="31"/>
      <c r="E109" s="31"/>
      <c r="F109" s="21">
        <v>138448.45000000001</v>
      </c>
      <c r="G109" s="21"/>
    </row>
    <row r="110" spans="1:7" x14ac:dyDescent="0.25">
      <c r="A110" s="2">
        <v>312</v>
      </c>
      <c r="B110" s="20" t="s">
        <v>47</v>
      </c>
      <c r="C110" s="20"/>
      <c r="D110" s="46">
        <v>72500</v>
      </c>
      <c r="E110" s="46">
        <v>72500</v>
      </c>
      <c r="F110" s="20">
        <f>F111+F112</f>
        <v>43153.97</v>
      </c>
      <c r="G110" s="20">
        <f>F110/E110*100</f>
        <v>59.522717241379311</v>
      </c>
    </row>
    <row r="111" spans="1:7" x14ac:dyDescent="0.25">
      <c r="A111" s="3">
        <v>3121</v>
      </c>
      <c r="B111" s="21" t="s">
        <v>68</v>
      </c>
      <c r="C111" s="21"/>
      <c r="D111" s="31"/>
      <c r="E111" s="31"/>
      <c r="F111" s="21">
        <v>11977.41</v>
      </c>
      <c r="G111" s="21"/>
    </row>
    <row r="112" spans="1:7" x14ac:dyDescent="0.25">
      <c r="A112" s="3">
        <v>3121</v>
      </c>
      <c r="B112" s="21" t="s">
        <v>69</v>
      </c>
      <c r="C112" s="21"/>
      <c r="D112" s="31"/>
      <c r="E112" s="31"/>
      <c r="F112" s="21">
        <v>31176.560000000001</v>
      </c>
      <c r="G112" s="21"/>
    </row>
    <row r="113" spans="1:7" x14ac:dyDescent="0.25">
      <c r="A113" s="2">
        <v>313</v>
      </c>
      <c r="B113" s="20" t="s">
        <v>70</v>
      </c>
      <c r="C113" s="20"/>
      <c r="D113" s="46">
        <v>80000</v>
      </c>
      <c r="E113" s="46">
        <v>80000</v>
      </c>
      <c r="F113" s="20">
        <f>F114+F115</f>
        <v>77368.740000000005</v>
      </c>
      <c r="G113" s="20">
        <f>F113/E113*100</f>
        <v>96.710925000000003</v>
      </c>
    </row>
    <row r="114" spans="1:7" x14ac:dyDescent="0.25">
      <c r="A114" s="3">
        <v>3132</v>
      </c>
      <c r="B114" s="21" t="s">
        <v>71</v>
      </c>
      <c r="C114" s="21"/>
      <c r="D114" s="31"/>
      <c r="E114" s="31"/>
      <c r="F114" s="31">
        <v>54506.3</v>
      </c>
      <c r="G114" s="21"/>
    </row>
    <row r="115" spans="1:7" x14ac:dyDescent="0.25">
      <c r="A115" s="3">
        <v>3132</v>
      </c>
      <c r="B115" s="21" t="s">
        <v>72</v>
      </c>
      <c r="C115" s="21"/>
      <c r="D115" s="31"/>
      <c r="E115" s="31"/>
      <c r="F115" s="21">
        <v>22862.44</v>
      </c>
      <c r="G115" s="21"/>
    </row>
    <row r="116" spans="1:7" x14ac:dyDescent="0.25">
      <c r="A116" s="2">
        <v>321</v>
      </c>
      <c r="B116" s="20" t="s">
        <v>11</v>
      </c>
      <c r="C116" s="20"/>
      <c r="D116" s="46">
        <v>37500</v>
      </c>
      <c r="E116" s="46">
        <v>37500</v>
      </c>
      <c r="F116" s="46">
        <f>F118+F119</f>
        <v>21926</v>
      </c>
      <c r="G116" s="20">
        <f>F116/E116*100</f>
        <v>58.469333333333331</v>
      </c>
    </row>
    <row r="117" spans="1:7" x14ac:dyDescent="0.25">
      <c r="A117" s="3">
        <v>3211</v>
      </c>
      <c r="B117" s="21" t="s">
        <v>163</v>
      </c>
      <c r="C117" s="21"/>
      <c r="D117" s="31"/>
      <c r="E117" s="31"/>
      <c r="F117" s="21">
        <v>0</v>
      </c>
      <c r="G117" s="21"/>
    </row>
    <row r="118" spans="1:7" x14ac:dyDescent="0.25">
      <c r="A118" s="3">
        <v>3212</v>
      </c>
      <c r="B118" s="21" t="s">
        <v>188</v>
      </c>
      <c r="C118" s="21"/>
      <c r="D118" s="31"/>
      <c r="E118" s="31"/>
      <c r="F118" s="21">
        <v>15446.87</v>
      </c>
      <c r="G118" s="21"/>
    </row>
    <row r="119" spans="1:7" x14ac:dyDescent="0.25">
      <c r="A119" s="2">
        <v>3212</v>
      </c>
      <c r="B119" s="21" t="s">
        <v>189</v>
      </c>
      <c r="C119" s="20"/>
      <c r="D119" s="46">
        <v>0</v>
      </c>
      <c r="E119" s="46">
        <v>0</v>
      </c>
      <c r="F119" s="21">
        <v>6479.13</v>
      </c>
      <c r="G119" s="20">
        <v>0</v>
      </c>
    </row>
    <row r="120" spans="1:7" x14ac:dyDescent="0.25">
      <c r="A120" s="2"/>
      <c r="B120" s="20"/>
      <c r="C120" s="20"/>
      <c r="D120" s="46">
        <v>0</v>
      </c>
      <c r="E120" s="46">
        <v>0</v>
      </c>
      <c r="F120" s="20">
        <v>0</v>
      </c>
      <c r="G120" s="20">
        <v>0</v>
      </c>
    </row>
    <row r="121" spans="1:7" x14ac:dyDescent="0.25">
      <c r="A121" s="5" t="s">
        <v>76</v>
      </c>
      <c r="B121" s="18" t="s">
        <v>77</v>
      </c>
      <c r="C121" s="25"/>
      <c r="D121" s="19">
        <v>119510</v>
      </c>
      <c r="E121" s="19">
        <v>119510</v>
      </c>
      <c r="F121" s="18">
        <v>111510.31</v>
      </c>
      <c r="G121" s="18">
        <f>F121/E121*100</f>
        <v>93.306258890469422</v>
      </c>
    </row>
    <row r="122" spans="1:7" x14ac:dyDescent="0.25">
      <c r="A122" s="3">
        <v>322</v>
      </c>
      <c r="B122" s="20" t="s">
        <v>14</v>
      </c>
      <c r="C122" s="21"/>
      <c r="D122" s="46">
        <v>0</v>
      </c>
      <c r="E122" s="46">
        <v>0</v>
      </c>
      <c r="F122" s="20">
        <v>0</v>
      </c>
      <c r="G122" s="20">
        <v>0</v>
      </c>
    </row>
    <row r="123" spans="1:7" x14ac:dyDescent="0.25">
      <c r="A123" s="3">
        <v>3221</v>
      </c>
      <c r="B123" s="21" t="s">
        <v>80</v>
      </c>
      <c r="C123" s="21"/>
      <c r="D123" s="31"/>
      <c r="E123" s="31"/>
      <c r="F123" s="21">
        <v>0</v>
      </c>
      <c r="G123" s="21"/>
    </row>
    <row r="124" spans="1:7" x14ac:dyDescent="0.25">
      <c r="A124" s="2">
        <v>323</v>
      </c>
      <c r="B124" s="20" t="s">
        <v>20</v>
      </c>
      <c r="C124" s="21"/>
      <c r="D124" s="46">
        <v>8000</v>
      </c>
      <c r="E124" s="46">
        <v>8000</v>
      </c>
      <c r="F124" s="20">
        <v>0</v>
      </c>
      <c r="G124" s="20">
        <v>0</v>
      </c>
    </row>
    <row r="125" spans="1:7" s="4" customFormat="1" x14ac:dyDescent="0.25">
      <c r="A125" s="3">
        <v>3239</v>
      </c>
      <c r="B125" s="21" t="s">
        <v>162</v>
      </c>
      <c r="C125" s="21"/>
      <c r="D125" s="31"/>
      <c r="E125" s="31"/>
      <c r="F125" s="21">
        <v>0</v>
      </c>
      <c r="G125" s="21">
        <v>0</v>
      </c>
    </row>
    <row r="126" spans="1:7" s="4" customFormat="1" x14ac:dyDescent="0.25">
      <c r="A126" s="2">
        <v>372</v>
      </c>
      <c r="B126" s="20" t="s">
        <v>176</v>
      </c>
      <c r="C126" s="20"/>
      <c r="D126" s="46">
        <v>111510</v>
      </c>
      <c r="E126" s="46">
        <v>111510</v>
      </c>
      <c r="F126" s="20">
        <v>111510.31</v>
      </c>
      <c r="G126" s="20">
        <f>F126/E126*100</f>
        <v>100.0002780019729</v>
      </c>
    </row>
    <row r="127" spans="1:7" s="4" customFormat="1" x14ac:dyDescent="0.25">
      <c r="A127" s="3">
        <v>7322</v>
      </c>
      <c r="B127" s="21" t="s">
        <v>83</v>
      </c>
      <c r="C127" s="21"/>
      <c r="D127" s="31"/>
      <c r="E127" s="31"/>
      <c r="F127" s="21">
        <v>0</v>
      </c>
      <c r="G127" s="21">
        <v>0</v>
      </c>
    </row>
    <row r="128" spans="1:7" x14ac:dyDescent="0.25">
      <c r="A128" s="2">
        <v>424</v>
      </c>
      <c r="B128" s="20" t="s">
        <v>78</v>
      </c>
      <c r="C128" s="20"/>
      <c r="D128" s="46">
        <v>0</v>
      </c>
      <c r="E128" s="46">
        <v>0</v>
      </c>
      <c r="F128" s="20">
        <v>0</v>
      </c>
      <c r="G128" s="20">
        <v>0</v>
      </c>
    </row>
    <row r="129" spans="1:7" x14ac:dyDescent="0.25">
      <c r="A129" s="3">
        <v>4241</v>
      </c>
      <c r="B129" s="21" t="s">
        <v>79</v>
      </c>
      <c r="C129" s="21"/>
      <c r="D129" s="21"/>
      <c r="E129" s="21"/>
      <c r="F129" s="21">
        <v>0</v>
      </c>
      <c r="G129" s="21">
        <v>0</v>
      </c>
    </row>
    <row r="130" spans="1:7" x14ac:dyDescent="0.25">
      <c r="A130" s="5" t="s">
        <v>81</v>
      </c>
      <c r="B130" s="18" t="s">
        <v>82</v>
      </c>
      <c r="C130" s="18"/>
      <c r="D130" s="18">
        <v>37186.54</v>
      </c>
      <c r="E130" s="18">
        <v>37186.54</v>
      </c>
      <c r="F130" s="18">
        <f>F131</f>
        <v>11403.09</v>
      </c>
      <c r="G130" s="18">
        <f>F130/E130*100</f>
        <v>30.664563038131536</v>
      </c>
    </row>
    <row r="131" spans="1:7" x14ac:dyDescent="0.25">
      <c r="A131" s="2">
        <v>323</v>
      </c>
      <c r="B131" s="20" t="s">
        <v>20</v>
      </c>
      <c r="C131" s="20"/>
      <c r="D131" s="20">
        <v>32186.54</v>
      </c>
      <c r="E131" s="20">
        <v>32186.54</v>
      </c>
      <c r="F131" s="20">
        <f>F132+F133+F134</f>
        <v>11403.09</v>
      </c>
      <c r="G131" s="20">
        <f>F131/E131*100</f>
        <v>35.428132380802658</v>
      </c>
    </row>
    <row r="132" spans="1:7" x14ac:dyDescent="0.25">
      <c r="A132" s="3">
        <v>3237</v>
      </c>
      <c r="B132" s="21" t="s">
        <v>73</v>
      </c>
      <c r="C132" s="21"/>
      <c r="D132" s="21"/>
      <c r="E132" s="21"/>
      <c r="F132" s="21">
        <v>5788.57</v>
      </c>
      <c r="G132" s="21"/>
    </row>
    <row r="133" spans="1:7" x14ac:dyDescent="0.25">
      <c r="A133" s="3">
        <v>3237</v>
      </c>
      <c r="B133" s="21" t="s">
        <v>74</v>
      </c>
      <c r="C133" s="21"/>
      <c r="D133" s="21"/>
      <c r="E133" s="21"/>
      <c r="F133" s="21">
        <v>2427.98</v>
      </c>
      <c r="G133" s="21"/>
    </row>
    <row r="134" spans="1:7" x14ac:dyDescent="0.25">
      <c r="A134" s="3">
        <v>3237</v>
      </c>
      <c r="B134" s="21" t="s">
        <v>161</v>
      </c>
      <c r="C134" s="21"/>
      <c r="D134" s="21"/>
      <c r="E134" s="21"/>
      <c r="F134" s="21">
        <v>3186.54</v>
      </c>
      <c r="G134" s="21"/>
    </row>
    <row r="135" spans="1:7" x14ac:dyDescent="0.25">
      <c r="A135" s="2">
        <v>324</v>
      </c>
      <c r="B135" s="20" t="s">
        <v>83</v>
      </c>
      <c r="C135" s="20"/>
      <c r="D135" s="46">
        <v>2500</v>
      </c>
      <c r="E135" s="46">
        <v>2500</v>
      </c>
      <c r="F135" s="20">
        <v>0</v>
      </c>
      <c r="G135" s="20">
        <v>2</v>
      </c>
    </row>
    <row r="136" spans="1:7" x14ac:dyDescent="0.25">
      <c r="A136" s="2">
        <v>329</v>
      </c>
      <c r="B136" s="20" t="s">
        <v>75</v>
      </c>
      <c r="C136" s="21"/>
      <c r="D136" s="46">
        <v>2500</v>
      </c>
      <c r="E136" s="46">
        <v>2500</v>
      </c>
      <c r="F136" s="20">
        <v>0</v>
      </c>
      <c r="G136" s="20">
        <v>0</v>
      </c>
    </row>
    <row r="137" spans="1:7" x14ac:dyDescent="0.25">
      <c r="A137" s="5" t="s">
        <v>84</v>
      </c>
      <c r="B137" s="18" t="s">
        <v>85</v>
      </c>
      <c r="C137" s="25"/>
      <c r="D137" s="19">
        <v>5000</v>
      </c>
      <c r="E137" s="19">
        <v>5000</v>
      </c>
      <c r="F137" s="18">
        <f>F138</f>
        <v>4986.88</v>
      </c>
      <c r="G137" s="18">
        <f>F137/E137*100</f>
        <v>99.7376</v>
      </c>
    </row>
    <row r="138" spans="1:7" x14ac:dyDescent="0.25">
      <c r="A138" s="2">
        <v>329</v>
      </c>
      <c r="B138" s="20" t="s">
        <v>86</v>
      </c>
      <c r="C138" s="21"/>
      <c r="D138" s="46">
        <v>5000</v>
      </c>
      <c r="E138" s="46">
        <v>5000</v>
      </c>
      <c r="F138" s="20">
        <f>F139+F140</f>
        <v>4986.88</v>
      </c>
      <c r="G138" s="20">
        <f>F138/E138*100</f>
        <v>99.7376</v>
      </c>
    </row>
    <row r="139" spans="1:7" x14ac:dyDescent="0.25">
      <c r="A139" s="3">
        <v>3299</v>
      </c>
      <c r="B139" s="21" t="s">
        <v>190</v>
      </c>
      <c r="C139" s="21"/>
      <c r="D139" s="20"/>
      <c r="E139" s="20"/>
      <c r="F139" s="20">
        <v>3513.26</v>
      </c>
      <c r="G139" s="20"/>
    </row>
    <row r="140" spans="1:7" x14ac:dyDescent="0.25">
      <c r="A140" s="3">
        <v>3299</v>
      </c>
      <c r="B140" s="21" t="s">
        <v>191</v>
      </c>
      <c r="C140" s="21"/>
      <c r="D140" s="21"/>
      <c r="E140" s="21"/>
      <c r="F140" s="21">
        <v>1473.62</v>
      </c>
      <c r="G140" s="21"/>
    </row>
    <row r="141" spans="1:7" x14ac:dyDescent="0.25">
      <c r="A141" s="5" t="s">
        <v>87</v>
      </c>
      <c r="B141" s="18" t="s">
        <v>88</v>
      </c>
      <c r="C141" s="18"/>
      <c r="D141" s="19">
        <v>15000</v>
      </c>
      <c r="E141" s="19">
        <v>15000</v>
      </c>
      <c r="F141" s="18">
        <v>0</v>
      </c>
      <c r="G141" s="18">
        <v>0</v>
      </c>
    </row>
    <row r="142" spans="1:7" x14ac:dyDescent="0.25">
      <c r="A142" s="2">
        <v>321</v>
      </c>
      <c r="B142" s="20" t="s">
        <v>11</v>
      </c>
      <c r="C142" s="21"/>
      <c r="D142" s="46">
        <v>2484</v>
      </c>
      <c r="E142" s="46">
        <v>2484</v>
      </c>
      <c r="F142" s="20">
        <v>0</v>
      </c>
      <c r="G142" s="20">
        <v>0</v>
      </c>
    </row>
    <row r="143" spans="1:7" x14ac:dyDescent="0.25">
      <c r="A143" s="3">
        <v>3213</v>
      </c>
      <c r="B143" s="21" t="s">
        <v>12</v>
      </c>
      <c r="C143" s="21"/>
      <c r="D143" s="20"/>
      <c r="E143" s="20"/>
      <c r="F143" s="20"/>
      <c r="G143" s="20"/>
    </row>
    <row r="144" spans="1:7" x14ac:dyDescent="0.25">
      <c r="A144" s="2">
        <v>322</v>
      </c>
      <c r="B144" s="20" t="s">
        <v>14</v>
      </c>
      <c r="C144" s="21"/>
      <c r="D144" s="46">
        <v>4000</v>
      </c>
      <c r="E144" s="46">
        <v>4000</v>
      </c>
      <c r="F144" s="20">
        <v>0</v>
      </c>
      <c r="G144" s="20">
        <v>0</v>
      </c>
    </row>
    <row r="145" spans="1:7" x14ac:dyDescent="0.25">
      <c r="A145" s="3">
        <v>3221</v>
      </c>
      <c r="B145" s="26" t="s">
        <v>89</v>
      </c>
      <c r="C145" s="26"/>
      <c r="D145" s="52"/>
      <c r="E145" s="52"/>
      <c r="F145" s="26"/>
      <c r="G145" s="26"/>
    </row>
    <row r="146" spans="1:7" x14ac:dyDescent="0.25">
      <c r="A146" s="2">
        <v>323</v>
      </c>
      <c r="B146" s="20" t="s">
        <v>20</v>
      </c>
      <c r="C146" s="21"/>
      <c r="D146" s="46">
        <v>4499</v>
      </c>
      <c r="E146" s="46">
        <v>4499</v>
      </c>
      <c r="F146" s="20">
        <v>0</v>
      </c>
      <c r="G146" s="20">
        <v>0</v>
      </c>
    </row>
    <row r="147" spans="1:7" x14ac:dyDescent="0.25">
      <c r="A147" s="3">
        <v>3237</v>
      </c>
      <c r="B147" s="21" t="s">
        <v>159</v>
      </c>
      <c r="C147" s="21"/>
      <c r="D147" s="46"/>
      <c r="E147" s="46"/>
      <c r="F147" s="20"/>
      <c r="G147" s="20"/>
    </row>
    <row r="148" spans="1:7" x14ac:dyDescent="0.25">
      <c r="A148" s="2">
        <v>329</v>
      </c>
      <c r="B148" s="20" t="s">
        <v>25</v>
      </c>
      <c r="C148" s="21"/>
      <c r="D148" s="46">
        <v>3653</v>
      </c>
      <c r="E148" s="46">
        <v>3653</v>
      </c>
      <c r="F148" s="20">
        <v>0</v>
      </c>
      <c r="G148" s="20">
        <v>0</v>
      </c>
    </row>
    <row r="149" spans="1:7" x14ac:dyDescent="0.25">
      <c r="A149" s="3">
        <v>3299</v>
      </c>
      <c r="B149" s="21" t="s">
        <v>160</v>
      </c>
      <c r="C149" s="21"/>
      <c r="D149" s="31"/>
      <c r="E149" s="31"/>
      <c r="F149" s="20"/>
      <c r="G149" s="21"/>
    </row>
    <row r="150" spans="1:7" x14ac:dyDescent="0.25">
      <c r="A150" s="3"/>
      <c r="B150" s="21"/>
      <c r="C150" s="21"/>
      <c r="D150" s="31"/>
      <c r="E150" s="31"/>
      <c r="F150" s="20"/>
      <c r="G150" s="21"/>
    </row>
    <row r="151" spans="1:7" x14ac:dyDescent="0.25">
      <c r="A151" s="5" t="s">
        <v>90</v>
      </c>
      <c r="B151" s="18" t="s">
        <v>91</v>
      </c>
      <c r="C151" s="18"/>
      <c r="D151" s="19">
        <v>2000</v>
      </c>
      <c r="E151" s="19">
        <v>2000</v>
      </c>
      <c r="F151" s="18">
        <f>F152</f>
        <v>1989.93</v>
      </c>
      <c r="G151" s="18">
        <f>F151/E151*100</f>
        <v>99.496499999999997</v>
      </c>
    </row>
    <row r="152" spans="1:7" x14ac:dyDescent="0.25">
      <c r="A152" s="2">
        <v>424</v>
      </c>
      <c r="B152" s="20" t="s">
        <v>92</v>
      </c>
      <c r="C152" s="20"/>
      <c r="D152" s="46">
        <v>2000</v>
      </c>
      <c r="E152" s="46">
        <v>2000</v>
      </c>
      <c r="F152" s="20">
        <f>F153+F154</f>
        <v>1989.93</v>
      </c>
      <c r="G152" s="20">
        <f>F152/E152*100</f>
        <v>99.496499999999997</v>
      </c>
    </row>
    <row r="153" spans="1:7" x14ac:dyDescent="0.25">
      <c r="A153" s="3">
        <v>4241</v>
      </c>
      <c r="B153" s="21" t="s">
        <v>192</v>
      </c>
      <c r="C153" s="21"/>
      <c r="D153" s="31"/>
      <c r="E153" s="31"/>
      <c r="F153" s="21">
        <v>1401.91</v>
      </c>
      <c r="G153" s="21"/>
    </row>
    <row r="154" spans="1:7" x14ac:dyDescent="0.25">
      <c r="A154" s="3">
        <v>4241</v>
      </c>
      <c r="B154" s="21" t="s">
        <v>193</v>
      </c>
      <c r="C154" s="21"/>
      <c r="D154" s="31"/>
      <c r="E154" s="31"/>
      <c r="F154" s="21">
        <v>588.02</v>
      </c>
      <c r="G154" s="21"/>
    </row>
    <row r="155" spans="1:7" x14ac:dyDescent="0.25">
      <c r="A155" s="3"/>
      <c r="B155" s="21" t="s">
        <v>126</v>
      </c>
      <c r="C155" s="23"/>
      <c r="D155" s="13" t="s">
        <v>140</v>
      </c>
      <c r="E155" s="13" t="s">
        <v>141</v>
      </c>
      <c r="F155" s="13" t="s">
        <v>7</v>
      </c>
      <c r="G155" s="13" t="s">
        <v>5</v>
      </c>
    </row>
    <row r="156" spans="1:7" x14ac:dyDescent="0.25">
      <c r="A156" s="5" t="s">
        <v>93</v>
      </c>
      <c r="B156" s="18" t="s">
        <v>94</v>
      </c>
      <c r="C156" s="18"/>
      <c r="D156" s="19">
        <v>7000</v>
      </c>
      <c r="E156" s="19">
        <v>7000</v>
      </c>
      <c r="F156" s="18">
        <f>F157+F162</f>
        <v>6702.5</v>
      </c>
      <c r="G156" s="18">
        <f>F156/E156*100</f>
        <v>95.75</v>
      </c>
    </row>
    <row r="157" spans="1:7" x14ac:dyDescent="0.25">
      <c r="A157" s="2">
        <v>322</v>
      </c>
      <c r="B157" s="20" t="s">
        <v>14</v>
      </c>
      <c r="C157" s="20"/>
      <c r="D157" s="46">
        <v>2454</v>
      </c>
      <c r="E157" s="46">
        <v>2454</v>
      </c>
      <c r="F157" s="20">
        <f>F158+F159+F160+F161</f>
        <v>2156.5</v>
      </c>
      <c r="G157" s="20">
        <f>F157/E157*100</f>
        <v>87.876935615321926</v>
      </c>
    </row>
    <row r="158" spans="1:7" x14ac:dyDescent="0.25">
      <c r="A158" s="3">
        <v>3221</v>
      </c>
      <c r="B158" s="21" t="s">
        <v>194</v>
      </c>
      <c r="C158" s="20"/>
      <c r="D158" s="46"/>
      <c r="E158" s="46"/>
      <c r="F158" s="31">
        <v>1233</v>
      </c>
      <c r="G158" s="20"/>
    </row>
    <row r="159" spans="1:7" x14ac:dyDescent="0.25">
      <c r="A159" s="3">
        <v>3221</v>
      </c>
      <c r="B159" s="21" t="s">
        <v>89</v>
      </c>
      <c r="C159" s="20"/>
      <c r="D159" s="46"/>
      <c r="E159" s="46"/>
      <c r="F159" s="31">
        <v>525</v>
      </c>
      <c r="G159" s="20"/>
    </row>
    <row r="160" spans="1:7" x14ac:dyDescent="0.25">
      <c r="A160" s="3">
        <v>3222</v>
      </c>
      <c r="B160" s="21" t="s">
        <v>195</v>
      </c>
      <c r="C160" s="20"/>
      <c r="D160" s="46"/>
      <c r="E160" s="46"/>
      <c r="F160" s="21">
        <v>283.91000000000003</v>
      </c>
      <c r="G160" s="20"/>
    </row>
    <row r="161" spans="1:7" x14ac:dyDescent="0.25">
      <c r="A161" s="3">
        <v>3222</v>
      </c>
      <c r="B161" s="21" t="s">
        <v>196</v>
      </c>
      <c r="C161" s="20"/>
      <c r="D161" s="46"/>
      <c r="E161" s="46"/>
      <c r="F161" s="21">
        <v>114.59</v>
      </c>
      <c r="G161" s="20"/>
    </row>
    <row r="162" spans="1:7" x14ac:dyDescent="0.25">
      <c r="A162" s="2">
        <v>324</v>
      </c>
      <c r="B162" s="20" t="s">
        <v>154</v>
      </c>
      <c r="C162" s="20"/>
      <c r="D162" s="46">
        <v>4546</v>
      </c>
      <c r="E162" s="46">
        <v>4546</v>
      </c>
      <c r="F162" s="46">
        <f>F163+F164</f>
        <v>4546</v>
      </c>
      <c r="G162" s="21">
        <f>F162/E162*100</f>
        <v>100</v>
      </c>
    </row>
    <row r="163" spans="1:7" x14ac:dyDescent="0.25">
      <c r="A163" s="3">
        <v>3241</v>
      </c>
      <c r="B163" s="21" t="s">
        <v>197</v>
      </c>
      <c r="C163" s="20"/>
      <c r="D163" s="46"/>
      <c r="E163" s="46"/>
      <c r="F163" s="31">
        <v>3205</v>
      </c>
      <c r="G163" s="21"/>
    </row>
    <row r="164" spans="1:7" x14ac:dyDescent="0.25">
      <c r="A164" s="3">
        <v>3241</v>
      </c>
      <c r="B164" s="21" t="s">
        <v>198</v>
      </c>
      <c r="C164" s="20"/>
      <c r="D164" s="46"/>
      <c r="E164" s="46"/>
      <c r="F164" s="31">
        <v>1341</v>
      </c>
      <c r="G164" s="21"/>
    </row>
    <row r="165" spans="1:7" x14ac:dyDescent="0.25">
      <c r="A165" s="5" t="s">
        <v>95</v>
      </c>
      <c r="B165" s="18" t="s">
        <v>96</v>
      </c>
      <c r="C165" s="18"/>
      <c r="D165" s="19">
        <v>7500</v>
      </c>
      <c r="E165" s="19">
        <v>7500</v>
      </c>
      <c r="F165" s="19">
        <f>F166+F171+F174+F177</f>
        <v>5447.62</v>
      </c>
      <c r="G165" s="18">
        <f>F165/E165*100</f>
        <v>72.634933333333322</v>
      </c>
    </row>
    <row r="166" spans="1:7" x14ac:dyDescent="0.25">
      <c r="A166" s="2">
        <v>321</v>
      </c>
      <c r="B166" s="20" t="s">
        <v>11</v>
      </c>
      <c r="C166" s="20"/>
      <c r="D166" s="46">
        <v>3000</v>
      </c>
      <c r="E166" s="46">
        <v>3000</v>
      </c>
      <c r="F166" s="46">
        <f>F167+F168+F169+F170</f>
        <v>1731.12</v>
      </c>
      <c r="G166" s="20">
        <f>F166/E166*100</f>
        <v>57.704000000000001</v>
      </c>
    </row>
    <row r="167" spans="1:7" x14ac:dyDescent="0.25">
      <c r="A167" s="3">
        <v>3211</v>
      </c>
      <c r="B167" s="21" t="s">
        <v>199</v>
      </c>
      <c r="C167" s="20"/>
      <c r="D167" s="46"/>
      <c r="E167" s="46"/>
      <c r="F167" s="21">
        <v>514.08000000000004</v>
      </c>
      <c r="G167" s="20"/>
    </row>
    <row r="168" spans="1:7" x14ac:dyDescent="0.25">
      <c r="A168" s="3">
        <v>3211</v>
      </c>
      <c r="B168" s="21" t="s">
        <v>200</v>
      </c>
      <c r="C168" s="20"/>
      <c r="D168" s="46"/>
      <c r="E168" s="46"/>
      <c r="F168" s="21">
        <v>217.04</v>
      </c>
      <c r="G168" s="20"/>
    </row>
    <row r="169" spans="1:7" x14ac:dyDescent="0.25">
      <c r="A169" s="3">
        <v>3213</v>
      </c>
      <c r="B169" s="21" t="s">
        <v>202</v>
      </c>
      <c r="C169" s="20"/>
      <c r="D169" s="46"/>
      <c r="E169" s="46"/>
      <c r="F169" s="31">
        <v>705</v>
      </c>
      <c r="G169" s="20"/>
    </row>
    <row r="170" spans="1:7" x14ac:dyDescent="0.25">
      <c r="A170" s="3">
        <v>3213</v>
      </c>
      <c r="B170" s="21" t="s">
        <v>201</v>
      </c>
      <c r="C170" s="21"/>
      <c r="D170" s="31"/>
      <c r="E170" s="31"/>
      <c r="F170" s="31">
        <v>295</v>
      </c>
      <c r="G170" s="21"/>
    </row>
    <row r="171" spans="1:7" x14ac:dyDescent="0.25">
      <c r="A171" s="2">
        <v>322</v>
      </c>
      <c r="B171" s="20" t="s">
        <v>14</v>
      </c>
      <c r="C171" s="20"/>
      <c r="D171" s="46">
        <v>1000</v>
      </c>
      <c r="E171" s="46">
        <v>1000</v>
      </c>
      <c r="F171" s="46">
        <f>F172+F173</f>
        <v>1000</v>
      </c>
      <c r="G171" s="20">
        <f>F171/E171*100</f>
        <v>100</v>
      </c>
    </row>
    <row r="172" spans="1:7" x14ac:dyDescent="0.25">
      <c r="A172" s="3">
        <v>3221</v>
      </c>
      <c r="B172" s="21" t="s">
        <v>194</v>
      </c>
      <c r="C172" s="20"/>
      <c r="D172" s="46"/>
      <c r="E172" s="46"/>
      <c r="F172" s="31">
        <v>705</v>
      </c>
      <c r="G172" s="20"/>
    </row>
    <row r="173" spans="1:7" x14ac:dyDescent="0.25">
      <c r="A173" s="3">
        <v>3221</v>
      </c>
      <c r="B173" s="21" t="s">
        <v>89</v>
      </c>
      <c r="C173" s="21"/>
      <c r="D173" s="31"/>
      <c r="E173" s="31"/>
      <c r="F173" s="31">
        <v>295</v>
      </c>
      <c r="G173" s="21"/>
    </row>
    <row r="174" spans="1:7" x14ac:dyDescent="0.25">
      <c r="A174" s="2">
        <v>323</v>
      </c>
      <c r="B174" s="20" t="s">
        <v>20</v>
      </c>
      <c r="C174" s="20"/>
      <c r="D174" s="46">
        <v>2500</v>
      </c>
      <c r="E174" s="46">
        <v>2500</v>
      </c>
      <c r="F174" s="20">
        <f>F175+F176</f>
        <v>1965</v>
      </c>
      <c r="G174" s="20">
        <f>F174/E174*100</f>
        <v>78.600000000000009</v>
      </c>
    </row>
    <row r="175" spans="1:7" x14ac:dyDescent="0.25">
      <c r="A175" s="3">
        <v>3237</v>
      </c>
      <c r="B175" s="21" t="s">
        <v>203</v>
      </c>
      <c r="C175" s="21"/>
      <c r="D175" s="31"/>
      <c r="E175" s="31"/>
      <c r="F175" s="21">
        <v>580.66</v>
      </c>
      <c r="G175" s="20"/>
    </row>
    <row r="176" spans="1:7" x14ac:dyDescent="0.25">
      <c r="A176" s="3">
        <v>3237</v>
      </c>
      <c r="B176" s="21" t="s">
        <v>73</v>
      </c>
      <c r="C176" s="21"/>
      <c r="D176" s="31"/>
      <c r="E176" s="31"/>
      <c r="F176" s="21">
        <v>1384.34</v>
      </c>
      <c r="G176" s="21"/>
    </row>
    <row r="177" spans="1:7" x14ac:dyDescent="0.25">
      <c r="A177" s="2">
        <v>424</v>
      </c>
      <c r="B177" s="20" t="s">
        <v>92</v>
      </c>
      <c r="C177" s="20"/>
      <c r="D177" s="46">
        <v>1000</v>
      </c>
      <c r="E177" s="46">
        <v>1000</v>
      </c>
      <c r="F177" s="20">
        <f>F178+F179</f>
        <v>751.5</v>
      </c>
      <c r="G177" s="20">
        <f>F177/E177*100</f>
        <v>75.149999999999991</v>
      </c>
    </row>
    <row r="178" spans="1:7" x14ac:dyDescent="0.25">
      <c r="A178" s="3">
        <v>4241</v>
      </c>
      <c r="B178" s="21" t="s">
        <v>192</v>
      </c>
      <c r="C178" s="20"/>
      <c r="D178" s="20"/>
      <c r="E178" s="20"/>
      <c r="F178" s="21">
        <v>529.42999999999995</v>
      </c>
      <c r="G178" s="20"/>
    </row>
    <row r="179" spans="1:7" x14ac:dyDescent="0.25">
      <c r="A179" s="3">
        <v>4241</v>
      </c>
      <c r="B179" s="21" t="s">
        <v>193</v>
      </c>
      <c r="C179" s="21"/>
      <c r="D179" s="21"/>
      <c r="E179" s="21"/>
      <c r="F179" s="21">
        <v>222.07</v>
      </c>
      <c r="G179" s="21"/>
    </row>
    <row r="180" spans="1:7" x14ac:dyDescent="0.25">
      <c r="A180" s="5" t="s">
        <v>97</v>
      </c>
      <c r="B180" s="18" t="s">
        <v>98</v>
      </c>
      <c r="C180" s="18"/>
      <c r="D180" s="19">
        <v>5000</v>
      </c>
      <c r="E180" s="19">
        <v>5000</v>
      </c>
      <c r="F180" s="18">
        <v>0</v>
      </c>
      <c r="G180" s="18">
        <v>0</v>
      </c>
    </row>
    <row r="181" spans="1:7" x14ac:dyDescent="0.25">
      <c r="A181" s="2">
        <v>321</v>
      </c>
      <c r="B181" s="20" t="s">
        <v>99</v>
      </c>
      <c r="C181" s="20"/>
      <c r="D181" s="46">
        <v>3000</v>
      </c>
      <c r="E181" s="46">
        <v>3000</v>
      </c>
      <c r="F181" s="20">
        <v>0</v>
      </c>
      <c r="G181" s="20">
        <v>0</v>
      </c>
    </row>
    <row r="182" spans="1:7" x14ac:dyDescent="0.25">
      <c r="A182" s="2">
        <v>323</v>
      </c>
      <c r="B182" s="20" t="s">
        <v>20</v>
      </c>
      <c r="C182" s="20"/>
      <c r="D182" s="46">
        <v>2000</v>
      </c>
      <c r="E182" s="46">
        <v>2000</v>
      </c>
      <c r="F182" s="20">
        <v>0</v>
      </c>
      <c r="G182" s="20">
        <v>0</v>
      </c>
    </row>
    <row r="183" spans="1:7" x14ac:dyDescent="0.25">
      <c r="A183" s="5" t="s">
        <v>100</v>
      </c>
      <c r="B183" s="18" t="s">
        <v>101</v>
      </c>
      <c r="C183" s="18"/>
      <c r="D183" s="18">
        <v>15182.25</v>
      </c>
      <c r="E183" s="18">
        <v>15182.25</v>
      </c>
      <c r="F183" s="18">
        <v>0</v>
      </c>
      <c r="G183" s="18">
        <v>0</v>
      </c>
    </row>
    <row r="184" spans="1:7" x14ac:dyDescent="0.25">
      <c r="A184" s="2">
        <v>321</v>
      </c>
      <c r="B184" s="20" t="s">
        <v>11</v>
      </c>
      <c r="C184" s="20"/>
      <c r="D184" s="46">
        <v>8000</v>
      </c>
      <c r="E184" s="46">
        <v>8000</v>
      </c>
      <c r="F184" s="20"/>
      <c r="G184" s="20">
        <v>0</v>
      </c>
    </row>
    <row r="185" spans="1:7" x14ac:dyDescent="0.25">
      <c r="A185" s="2">
        <v>323</v>
      </c>
      <c r="B185" s="20" t="s">
        <v>20</v>
      </c>
      <c r="C185" s="20"/>
      <c r="D185" s="46">
        <v>1000</v>
      </c>
      <c r="E185" s="46">
        <v>1000</v>
      </c>
      <c r="F185" s="20"/>
      <c r="G185" s="20"/>
    </row>
    <row r="186" spans="1:7" x14ac:dyDescent="0.25">
      <c r="A186" s="2">
        <v>329</v>
      </c>
      <c r="B186" s="20" t="s">
        <v>86</v>
      </c>
      <c r="C186" s="20"/>
      <c r="D186" s="20">
        <v>6182.25</v>
      </c>
      <c r="E186" s="20">
        <v>6182.25</v>
      </c>
      <c r="F186" s="21"/>
      <c r="G186" s="21"/>
    </row>
    <row r="187" spans="1:7" x14ac:dyDescent="0.25">
      <c r="A187" s="5" t="s">
        <v>102</v>
      </c>
      <c r="B187" s="18" t="s">
        <v>103</v>
      </c>
      <c r="C187" s="18"/>
      <c r="D187" s="19">
        <v>9000</v>
      </c>
      <c r="E187" s="19">
        <v>9000</v>
      </c>
      <c r="F187" s="18">
        <v>8100</v>
      </c>
      <c r="G187" s="18">
        <f>F187/E187*100</f>
        <v>90</v>
      </c>
    </row>
    <row r="188" spans="1:7" x14ac:dyDescent="0.25">
      <c r="A188" s="2">
        <v>329</v>
      </c>
      <c r="B188" s="20" t="s">
        <v>86</v>
      </c>
      <c r="C188" s="20"/>
      <c r="D188" s="46">
        <v>9000</v>
      </c>
      <c r="E188" s="46">
        <v>9000</v>
      </c>
      <c r="F188" s="20">
        <v>8100</v>
      </c>
      <c r="G188" s="20">
        <f>F188/E188*100</f>
        <v>90</v>
      </c>
    </row>
    <row r="189" spans="1:7" x14ac:dyDescent="0.25">
      <c r="A189" s="3">
        <v>3294</v>
      </c>
      <c r="B189" s="21" t="s">
        <v>204</v>
      </c>
      <c r="C189" s="20"/>
      <c r="D189" s="20"/>
      <c r="E189" s="20"/>
      <c r="F189" s="21">
        <v>5706.45</v>
      </c>
      <c r="G189" s="20"/>
    </row>
    <row r="190" spans="1:7" x14ac:dyDescent="0.25">
      <c r="A190" s="3">
        <v>3294</v>
      </c>
      <c r="B190" s="21" t="s">
        <v>205</v>
      </c>
      <c r="C190" s="21"/>
      <c r="D190" s="21"/>
      <c r="E190" s="21"/>
      <c r="F190" s="21">
        <v>2393.5500000000002</v>
      </c>
      <c r="G190" s="21"/>
    </row>
    <row r="191" spans="1:7" x14ac:dyDescent="0.25">
      <c r="A191" s="2">
        <v>422</v>
      </c>
      <c r="B191" s="20" t="s">
        <v>104</v>
      </c>
      <c r="C191" s="20"/>
      <c r="D191" s="20">
        <v>0</v>
      </c>
      <c r="E191" s="20">
        <v>0</v>
      </c>
      <c r="F191" s="20">
        <v>0</v>
      </c>
      <c r="G191" s="20">
        <v>0</v>
      </c>
    </row>
    <row r="192" spans="1:7" x14ac:dyDescent="0.25">
      <c r="A192" s="5" t="s">
        <v>105</v>
      </c>
      <c r="B192" s="18" t="s">
        <v>106</v>
      </c>
      <c r="C192" s="18"/>
      <c r="D192" s="19">
        <v>2000</v>
      </c>
      <c r="E192" s="19">
        <v>2000</v>
      </c>
      <c r="F192" s="18">
        <v>0</v>
      </c>
      <c r="G192" s="18">
        <v>0</v>
      </c>
    </row>
    <row r="193" spans="1:7" x14ac:dyDescent="0.25">
      <c r="A193" s="2">
        <v>323</v>
      </c>
      <c r="B193" s="20" t="s">
        <v>20</v>
      </c>
      <c r="C193" s="20"/>
      <c r="D193" s="46">
        <v>2000</v>
      </c>
      <c r="E193" s="46">
        <v>2000</v>
      </c>
      <c r="F193" s="20">
        <v>0</v>
      </c>
      <c r="G193" s="20">
        <v>0</v>
      </c>
    </row>
    <row r="194" spans="1:7" x14ac:dyDescent="0.25">
      <c r="A194" s="3">
        <v>3237</v>
      </c>
      <c r="B194" s="21" t="s">
        <v>74</v>
      </c>
      <c r="C194" s="21"/>
      <c r="D194" s="21"/>
      <c r="E194" s="21"/>
      <c r="F194" s="21">
        <v>0</v>
      </c>
      <c r="G194" s="21"/>
    </row>
    <row r="195" spans="1:7" x14ac:dyDescent="0.25">
      <c r="A195" s="3">
        <v>3237</v>
      </c>
      <c r="B195" s="21" t="s">
        <v>73</v>
      </c>
      <c r="C195" s="21"/>
      <c r="D195" s="21"/>
      <c r="E195" s="21"/>
      <c r="F195" s="21">
        <v>0</v>
      </c>
      <c r="G195" s="21"/>
    </row>
    <row r="196" spans="1:7" x14ac:dyDescent="0.25">
      <c r="A196" s="3"/>
      <c r="B196" s="21"/>
      <c r="C196" s="21"/>
      <c r="D196" s="21"/>
      <c r="E196" s="21"/>
      <c r="F196" s="21"/>
      <c r="G196" s="21"/>
    </row>
    <row r="197" spans="1:7" x14ac:dyDescent="0.25">
      <c r="A197" s="5" t="s">
        <v>107</v>
      </c>
      <c r="B197" s="18" t="s">
        <v>108</v>
      </c>
      <c r="C197" s="18"/>
      <c r="D197" s="18">
        <v>0</v>
      </c>
      <c r="E197" s="18">
        <v>0</v>
      </c>
      <c r="F197" s="18">
        <v>0</v>
      </c>
      <c r="G197" s="18">
        <v>0</v>
      </c>
    </row>
    <row r="198" spans="1:7" x14ac:dyDescent="0.25">
      <c r="A198" s="2">
        <v>322</v>
      </c>
      <c r="B198" s="20" t="s">
        <v>109</v>
      </c>
      <c r="C198" s="20"/>
      <c r="D198" s="20">
        <v>0</v>
      </c>
      <c r="E198" s="20">
        <v>0</v>
      </c>
      <c r="F198" s="20">
        <v>0</v>
      </c>
      <c r="G198" s="20">
        <v>0</v>
      </c>
    </row>
    <row r="199" spans="1:7" x14ac:dyDescent="0.25">
      <c r="A199" s="2">
        <v>323</v>
      </c>
      <c r="B199" s="20" t="s">
        <v>20</v>
      </c>
      <c r="C199" s="20"/>
      <c r="D199" s="20">
        <v>0</v>
      </c>
      <c r="E199" s="20">
        <v>0</v>
      </c>
      <c r="F199" s="20">
        <v>0</v>
      </c>
      <c r="G199" s="20"/>
    </row>
    <row r="200" spans="1:7" x14ac:dyDescent="0.25">
      <c r="A200" s="2">
        <v>329</v>
      </c>
      <c r="B200" s="20" t="s">
        <v>86</v>
      </c>
      <c r="C200" s="20"/>
      <c r="D200" s="20">
        <v>0</v>
      </c>
      <c r="E200" s="20">
        <v>0</v>
      </c>
      <c r="F200" s="20">
        <v>0</v>
      </c>
      <c r="G200" s="20">
        <v>0</v>
      </c>
    </row>
    <row r="201" spans="1:7" x14ac:dyDescent="0.25">
      <c r="A201" s="2">
        <v>422</v>
      </c>
      <c r="B201" s="20" t="s">
        <v>104</v>
      </c>
      <c r="C201" s="20"/>
      <c r="D201" s="20">
        <v>0</v>
      </c>
      <c r="E201" s="20">
        <v>0</v>
      </c>
      <c r="F201" s="20">
        <v>0</v>
      </c>
      <c r="G201" s="20">
        <v>0</v>
      </c>
    </row>
    <row r="202" spans="1:7" x14ac:dyDescent="0.25">
      <c r="A202" s="5" t="s">
        <v>111</v>
      </c>
      <c r="B202" s="18" t="s">
        <v>112</v>
      </c>
      <c r="C202" s="18"/>
      <c r="D202" s="19">
        <v>12000</v>
      </c>
      <c r="E202" s="19">
        <v>12000</v>
      </c>
      <c r="F202" s="18">
        <f>F203</f>
        <v>11991.14</v>
      </c>
      <c r="G202" s="18">
        <f>F202/E202*100</f>
        <v>99.92616666666666</v>
      </c>
    </row>
    <row r="203" spans="1:7" x14ac:dyDescent="0.25">
      <c r="A203" s="2">
        <v>322</v>
      </c>
      <c r="B203" s="20" t="s">
        <v>109</v>
      </c>
      <c r="C203" s="20"/>
      <c r="D203" s="46">
        <v>12000</v>
      </c>
      <c r="E203" s="46">
        <v>12000</v>
      </c>
      <c r="F203" s="20">
        <f>F204</f>
        <v>11991.14</v>
      </c>
      <c r="G203" s="20">
        <f>F203/E203*100</f>
        <v>99.92616666666666</v>
      </c>
    </row>
    <row r="204" spans="1:7" x14ac:dyDescent="0.25">
      <c r="A204" s="3">
        <v>3222</v>
      </c>
      <c r="B204" s="21" t="s">
        <v>110</v>
      </c>
      <c r="C204" s="21"/>
      <c r="D204" s="21"/>
      <c r="E204" s="21"/>
      <c r="F204" s="21">
        <v>11991.14</v>
      </c>
      <c r="G204" s="21"/>
    </row>
    <row r="205" spans="1:7" x14ac:dyDescent="0.25">
      <c r="A205" s="3"/>
      <c r="B205" s="21" t="s">
        <v>126</v>
      </c>
      <c r="C205" s="23"/>
      <c r="D205" s="13" t="s">
        <v>140</v>
      </c>
      <c r="E205" s="13" t="s">
        <v>141</v>
      </c>
      <c r="F205" s="13" t="s">
        <v>7</v>
      </c>
      <c r="G205" s="13" t="s">
        <v>5</v>
      </c>
    </row>
    <row r="206" spans="1:7" x14ac:dyDescent="0.25">
      <c r="A206" s="7">
        <v>2302</v>
      </c>
      <c r="B206" s="24" t="s">
        <v>113</v>
      </c>
      <c r="C206" s="24"/>
      <c r="D206" s="48">
        <f>D207</f>
        <v>432</v>
      </c>
      <c r="E206" s="48">
        <f>E207</f>
        <v>432</v>
      </c>
      <c r="F206" s="48">
        <f>F207</f>
        <v>432</v>
      </c>
      <c r="G206" s="48">
        <f>F206/E206*100</f>
        <v>100</v>
      </c>
    </row>
    <row r="207" spans="1:7" x14ac:dyDescent="0.25">
      <c r="A207" s="5" t="s">
        <v>114</v>
      </c>
      <c r="B207" s="18" t="s">
        <v>115</v>
      </c>
      <c r="C207" s="18"/>
      <c r="D207" s="19">
        <v>432</v>
      </c>
      <c r="E207" s="19">
        <f>E208</f>
        <v>432</v>
      </c>
      <c r="F207" s="19">
        <v>432</v>
      </c>
      <c r="G207" s="19">
        <v>100</v>
      </c>
    </row>
    <row r="208" spans="1:7" x14ac:dyDescent="0.25">
      <c r="A208" s="2">
        <v>322</v>
      </c>
      <c r="B208" s="20" t="s">
        <v>109</v>
      </c>
      <c r="C208" s="20"/>
      <c r="D208" s="46">
        <v>432</v>
      </c>
      <c r="E208" s="46">
        <v>432</v>
      </c>
      <c r="F208" s="46">
        <v>432</v>
      </c>
      <c r="G208" s="46">
        <v>100</v>
      </c>
    </row>
    <row r="209" spans="1:7" x14ac:dyDescent="0.25">
      <c r="A209" s="3">
        <v>3222</v>
      </c>
      <c r="B209" s="21" t="s">
        <v>110</v>
      </c>
      <c r="C209" s="21"/>
      <c r="D209" s="31"/>
      <c r="E209" s="31"/>
      <c r="F209" s="31">
        <v>432</v>
      </c>
      <c r="G209" s="21"/>
    </row>
    <row r="210" spans="1:7" x14ac:dyDescent="0.25">
      <c r="A210" s="3"/>
      <c r="B210" s="21"/>
      <c r="C210" s="21"/>
      <c r="D210" s="31"/>
      <c r="E210" s="31"/>
      <c r="F210" s="31"/>
      <c r="G210" s="21"/>
    </row>
    <row r="211" spans="1:7" x14ac:dyDescent="0.25">
      <c r="A211" s="7">
        <v>2401</v>
      </c>
      <c r="B211" s="24" t="s">
        <v>206</v>
      </c>
      <c r="C211" s="24"/>
      <c r="D211" s="48">
        <f>D212+D216</f>
        <v>45000</v>
      </c>
      <c r="E211" s="48">
        <f>E212+E216</f>
        <v>45000</v>
      </c>
      <c r="F211" s="48">
        <f>F212+F216</f>
        <v>47685</v>
      </c>
      <c r="G211" s="48">
        <f>F211/E211*100</f>
        <v>105.96666666666667</v>
      </c>
    </row>
    <row r="212" spans="1:7" x14ac:dyDescent="0.25">
      <c r="A212" s="38" t="s">
        <v>207</v>
      </c>
      <c r="B212" s="54" t="s">
        <v>208</v>
      </c>
      <c r="C212" s="54"/>
      <c r="D212" s="55">
        <v>30000</v>
      </c>
      <c r="E212" s="55">
        <v>30000</v>
      </c>
      <c r="F212" s="55">
        <v>32685</v>
      </c>
      <c r="G212" s="54">
        <f>F212/E212*100</f>
        <v>108.94999999999999</v>
      </c>
    </row>
    <row r="213" spans="1:7" x14ac:dyDescent="0.25">
      <c r="A213" s="2">
        <v>323</v>
      </c>
      <c r="B213" s="20" t="s">
        <v>20</v>
      </c>
      <c r="C213" s="20"/>
      <c r="D213" s="46">
        <v>30000</v>
      </c>
      <c r="E213" s="46">
        <v>30000</v>
      </c>
      <c r="F213" s="46">
        <v>32685</v>
      </c>
      <c r="G213" s="20">
        <f>F213/E213*100</f>
        <v>108.94999999999999</v>
      </c>
    </row>
    <row r="214" spans="1:7" x14ac:dyDescent="0.25">
      <c r="A214" s="3">
        <v>3232</v>
      </c>
      <c r="B214" s="21" t="s">
        <v>209</v>
      </c>
      <c r="C214" s="21"/>
      <c r="D214" s="21"/>
      <c r="E214" s="21"/>
      <c r="F214" s="21">
        <v>32685</v>
      </c>
      <c r="G214" s="21"/>
    </row>
    <row r="215" spans="1:7" x14ac:dyDescent="0.25">
      <c r="A215" s="3"/>
      <c r="B215" s="21"/>
      <c r="C215" s="21"/>
      <c r="D215" s="21"/>
      <c r="E215" s="21"/>
      <c r="F215" s="21"/>
      <c r="G215" s="21"/>
    </row>
    <row r="216" spans="1:7" x14ac:dyDescent="0.25">
      <c r="A216" s="38" t="s">
        <v>210</v>
      </c>
      <c r="B216" s="54" t="s">
        <v>211</v>
      </c>
      <c r="C216" s="54"/>
      <c r="D216" s="55">
        <v>15000</v>
      </c>
      <c r="E216" s="55">
        <v>15000</v>
      </c>
      <c r="F216" s="55">
        <v>15000</v>
      </c>
      <c r="G216" s="55">
        <f>F216/E216*100</f>
        <v>100</v>
      </c>
    </row>
    <row r="217" spans="1:7" x14ac:dyDescent="0.25">
      <c r="A217" s="2">
        <v>323</v>
      </c>
      <c r="B217" s="20" t="s">
        <v>20</v>
      </c>
      <c r="C217" s="20"/>
      <c r="D217" s="46">
        <v>15000</v>
      </c>
      <c r="E217" s="46">
        <v>15000</v>
      </c>
      <c r="F217" s="46">
        <v>15000</v>
      </c>
      <c r="G217" s="46">
        <f>F217/E217*100</f>
        <v>100</v>
      </c>
    </row>
    <row r="218" spans="1:7" x14ac:dyDescent="0.25">
      <c r="A218" s="3">
        <v>3232</v>
      </c>
      <c r="B218" s="21" t="s">
        <v>209</v>
      </c>
      <c r="C218" s="21"/>
      <c r="D218" s="21"/>
      <c r="E218" s="21"/>
      <c r="F218" s="31">
        <v>15000</v>
      </c>
      <c r="G218" s="21"/>
    </row>
    <row r="219" spans="1:7" x14ac:dyDescent="0.25">
      <c r="A219" s="3"/>
      <c r="B219" s="21"/>
      <c r="C219" s="21"/>
      <c r="D219" s="21"/>
      <c r="E219" s="21"/>
      <c r="F219" s="21"/>
      <c r="G219" s="21"/>
    </row>
    <row r="220" spans="1:7" x14ac:dyDescent="0.25">
      <c r="A220" s="7">
        <v>2405</v>
      </c>
      <c r="B220" s="24" t="s">
        <v>156</v>
      </c>
      <c r="C220" s="24"/>
      <c r="D220" s="24">
        <f>D221+D225+D232</f>
        <v>340316.25</v>
      </c>
      <c r="E220" s="24">
        <f>E221+E225+E232</f>
        <v>340316.25</v>
      </c>
      <c r="F220" s="24">
        <f>F221+F225+F232</f>
        <v>275807.41000000003</v>
      </c>
      <c r="G220" s="24">
        <f>F220/E220*100</f>
        <v>81.044443220093086</v>
      </c>
    </row>
    <row r="221" spans="1:7" x14ac:dyDescent="0.25">
      <c r="A221" s="5" t="s">
        <v>118</v>
      </c>
      <c r="B221" s="18" t="s">
        <v>157</v>
      </c>
      <c r="C221" s="18"/>
      <c r="D221" s="18">
        <v>14316.25</v>
      </c>
      <c r="E221" s="18">
        <v>14316.25</v>
      </c>
      <c r="F221" s="18">
        <v>14316.25</v>
      </c>
      <c r="G221" s="19">
        <f>F221/E221*100</f>
        <v>100</v>
      </c>
    </row>
    <row r="222" spans="1:7" x14ac:dyDescent="0.25">
      <c r="A222" s="2">
        <v>422</v>
      </c>
      <c r="B222" s="20" t="s">
        <v>104</v>
      </c>
      <c r="C222" s="20"/>
      <c r="D222" s="20">
        <v>14316.25</v>
      </c>
      <c r="E222" s="20">
        <v>14316.25</v>
      </c>
      <c r="F222" s="20">
        <v>14316.25</v>
      </c>
      <c r="G222" s="46">
        <f>F222/E222*100</f>
        <v>100</v>
      </c>
    </row>
    <row r="223" spans="1:7" x14ac:dyDescent="0.25">
      <c r="A223" s="3">
        <v>4223</v>
      </c>
      <c r="B223" s="21" t="s">
        <v>212</v>
      </c>
      <c r="C223" s="21"/>
      <c r="D223" s="21"/>
      <c r="E223" s="21"/>
      <c r="F223" s="21">
        <v>14316.25</v>
      </c>
      <c r="G223" s="21"/>
    </row>
    <row r="224" spans="1:7" x14ac:dyDescent="0.25">
      <c r="A224" s="3"/>
      <c r="B224" s="21"/>
      <c r="C224" s="21"/>
      <c r="D224" s="21"/>
      <c r="E224" s="21"/>
      <c r="F224" s="21"/>
      <c r="G224" s="21"/>
    </row>
    <row r="225" spans="1:7" x14ac:dyDescent="0.25">
      <c r="A225" s="5" t="s">
        <v>119</v>
      </c>
      <c r="B225" s="18" t="s">
        <v>121</v>
      </c>
      <c r="C225" s="18"/>
      <c r="D225" s="19">
        <v>26000</v>
      </c>
      <c r="E225" s="19">
        <v>26000</v>
      </c>
      <c r="F225" s="18">
        <v>25991.16</v>
      </c>
      <c r="G225" s="18">
        <f>F225/E225*100</f>
        <v>99.965999999999994</v>
      </c>
    </row>
    <row r="226" spans="1:7" x14ac:dyDescent="0.25">
      <c r="A226" s="2">
        <v>424</v>
      </c>
      <c r="B226" s="20" t="s">
        <v>92</v>
      </c>
      <c r="C226" s="20"/>
      <c r="D226" s="46">
        <v>26000</v>
      </c>
      <c r="E226" s="46">
        <v>26000</v>
      </c>
      <c r="F226" s="20">
        <v>25991.16</v>
      </c>
      <c r="G226" s="20">
        <f>F226/E226*100</f>
        <v>99.965999999999994</v>
      </c>
    </row>
    <row r="227" spans="1:7" x14ac:dyDescent="0.25">
      <c r="A227" s="3">
        <v>4241</v>
      </c>
      <c r="B227" s="21" t="s">
        <v>213</v>
      </c>
      <c r="C227" s="21"/>
      <c r="D227" s="21"/>
      <c r="E227" s="21"/>
      <c r="F227" s="21">
        <v>14083.77</v>
      </c>
      <c r="G227" s="21"/>
    </row>
    <row r="228" spans="1:7" x14ac:dyDescent="0.25">
      <c r="A228" s="3">
        <v>4241</v>
      </c>
      <c r="B228" s="21" t="s">
        <v>193</v>
      </c>
      <c r="C228" s="21"/>
      <c r="D228" s="21"/>
      <c r="E228" s="21"/>
      <c r="F228" s="21">
        <v>5907.39</v>
      </c>
      <c r="G228" s="21"/>
    </row>
    <row r="229" spans="1:7" x14ac:dyDescent="0.25">
      <c r="A229" s="3">
        <v>4241</v>
      </c>
      <c r="B229" s="21" t="s">
        <v>158</v>
      </c>
      <c r="C229" s="21"/>
      <c r="D229" s="21"/>
      <c r="E229" s="21"/>
      <c r="F229" s="21">
        <v>3000</v>
      </c>
      <c r="G229" s="21"/>
    </row>
    <row r="230" spans="1:7" x14ac:dyDescent="0.25">
      <c r="A230" s="3">
        <v>4241</v>
      </c>
      <c r="B230" s="21" t="s">
        <v>214</v>
      </c>
      <c r="C230" s="21"/>
      <c r="D230" s="21"/>
      <c r="E230" s="21"/>
      <c r="F230" s="21">
        <v>3000</v>
      </c>
      <c r="G230" s="21"/>
    </row>
    <row r="231" spans="1:7" x14ac:dyDescent="0.25">
      <c r="A231" s="3"/>
      <c r="B231" s="21"/>
      <c r="C231" s="21"/>
      <c r="D231" s="21"/>
      <c r="E231" s="21"/>
      <c r="F231" s="21"/>
      <c r="G231" s="21"/>
    </row>
    <row r="232" spans="1:7" x14ac:dyDescent="0.25">
      <c r="A232" s="5" t="s">
        <v>120</v>
      </c>
      <c r="B232" s="18" t="s">
        <v>122</v>
      </c>
      <c r="C232" s="18"/>
      <c r="D232" s="19">
        <v>300000</v>
      </c>
      <c r="E232" s="19">
        <v>300000</v>
      </c>
      <c r="F232" s="18">
        <v>235500</v>
      </c>
      <c r="G232" s="19">
        <f>F232/E232*100</f>
        <v>78.5</v>
      </c>
    </row>
    <row r="233" spans="1:7" x14ac:dyDescent="0.25">
      <c r="A233" s="2">
        <v>412</v>
      </c>
      <c r="B233" s="20" t="s">
        <v>123</v>
      </c>
      <c r="C233" s="20"/>
      <c r="D233" s="46">
        <v>300000</v>
      </c>
      <c r="E233" s="46">
        <v>300000</v>
      </c>
      <c r="F233" s="20">
        <f>F234+F235</f>
        <v>235500</v>
      </c>
      <c r="G233" s="46">
        <f>F233/E233*100</f>
        <v>78.5</v>
      </c>
    </row>
    <row r="234" spans="1:7" x14ac:dyDescent="0.25">
      <c r="A234" s="3">
        <v>4126</v>
      </c>
      <c r="B234" s="21" t="s">
        <v>215</v>
      </c>
      <c r="C234" s="21"/>
      <c r="D234" s="31"/>
      <c r="E234" s="31"/>
      <c r="F234" s="21">
        <v>165909.75</v>
      </c>
      <c r="G234" s="21"/>
    </row>
    <row r="235" spans="1:7" x14ac:dyDescent="0.25">
      <c r="A235" s="49">
        <v>4126</v>
      </c>
      <c r="B235" s="27" t="s">
        <v>216</v>
      </c>
      <c r="C235" s="27"/>
      <c r="D235" s="51">
        <v>0</v>
      </c>
      <c r="E235" s="51">
        <v>0</v>
      </c>
      <c r="F235" s="27">
        <v>69590.25</v>
      </c>
      <c r="G235" s="27"/>
    </row>
    <row r="236" spans="1:7" x14ac:dyDescent="0.25">
      <c r="A236" s="3"/>
      <c r="B236" s="21"/>
      <c r="C236" s="21"/>
      <c r="D236" s="21"/>
      <c r="E236" s="21"/>
      <c r="F236" s="21"/>
      <c r="G236" s="21"/>
    </row>
    <row r="237" spans="1:7" x14ac:dyDescent="0.25">
      <c r="A237" s="7">
        <v>9108</v>
      </c>
      <c r="B237" s="24" t="s">
        <v>217</v>
      </c>
      <c r="C237" s="24"/>
      <c r="D237" s="48">
        <v>54400</v>
      </c>
      <c r="E237" s="48">
        <v>54400</v>
      </c>
      <c r="F237" s="24">
        <v>30999.040000000001</v>
      </c>
      <c r="G237" s="24">
        <f>F237/E237*100</f>
        <v>56.983529411764714</v>
      </c>
    </row>
    <row r="238" spans="1:7" x14ac:dyDescent="0.25">
      <c r="A238" s="5" t="s">
        <v>218</v>
      </c>
      <c r="B238" s="18" t="s">
        <v>219</v>
      </c>
      <c r="C238" s="18"/>
      <c r="D238" s="19">
        <v>54400</v>
      </c>
      <c r="E238" s="19">
        <v>54400</v>
      </c>
      <c r="F238" s="18">
        <v>30999.040000000001</v>
      </c>
      <c r="G238" s="19">
        <f>F238/E238*100</f>
        <v>56.983529411764714</v>
      </c>
    </row>
    <row r="239" spans="1:7" x14ac:dyDescent="0.25">
      <c r="A239" s="2">
        <v>311</v>
      </c>
      <c r="B239" s="20" t="s">
        <v>65</v>
      </c>
      <c r="C239" s="20"/>
      <c r="D239" s="46">
        <v>40082</v>
      </c>
      <c r="E239" s="46">
        <v>40082</v>
      </c>
      <c r="F239" s="20">
        <v>26431.040000000001</v>
      </c>
      <c r="G239" s="20">
        <f>F239/E239*100</f>
        <v>65.942418043011827</v>
      </c>
    </row>
    <row r="240" spans="1:7" x14ac:dyDescent="0.25">
      <c r="A240" s="3">
        <v>3111</v>
      </c>
      <c r="B240" s="21" t="s">
        <v>220</v>
      </c>
      <c r="C240" s="21"/>
      <c r="D240" s="31"/>
      <c r="E240" s="31"/>
      <c r="F240" s="21">
        <v>26431.040000000001</v>
      </c>
      <c r="G240" s="21"/>
    </row>
    <row r="241" spans="1:7" x14ac:dyDescent="0.25">
      <c r="A241" s="2">
        <v>312</v>
      </c>
      <c r="B241" s="20" t="s">
        <v>47</v>
      </c>
      <c r="C241" s="20"/>
      <c r="D241" s="46">
        <v>7218</v>
      </c>
      <c r="E241" s="46">
        <v>7218</v>
      </c>
      <c r="F241" s="46">
        <v>2268</v>
      </c>
      <c r="G241" s="20">
        <f>F241/E241*100</f>
        <v>31.421446384039903</v>
      </c>
    </row>
    <row r="242" spans="1:7" x14ac:dyDescent="0.25">
      <c r="A242" s="3">
        <v>3121</v>
      </c>
      <c r="B242" s="21" t="s">
        <v>47</v>
      </c>
      <c r="C242" s="21"/>
      <c r="D242" s="31"/>
      <c r="E242" s="31"/>
      <c r="F242" s="31">
        <v>2268</v>
      </c>
      <c r="G242" s="21"/>
    </row>
    <row r="243" spans="1:7" x14ac:dyDescent="0.25">
      <c r="A243" s="2">
        <v>313</v>
      </c>
      <c r="B243" s="20" t="s">
        <v>70</v>
      </c>
      <c r="C243" s="20"/>
      <c r="D243" s="46">
        <v>6000</v>
      </c>
      <c r="E243" s="46">
        <v>6000</v>
      </c>
      <c r="F243" s="46">
        <v>1900</v>
      </c>
      <c r="G243" s="20">
        <f>F243/E243*100</f>
        <v>31.666666666666664</v>
      </c>
    </row>
    <row r="244" spans="1:7" x14ac:dyDescent="0.25">
      <c r="A244" s="3">
        <v>3132</v>
      </c>
      <c r="B244" s="21" t="s">
        <v>221</v>
      </c>
      <c r="C244" s="21"/>
      <c r="D244" s="31"/>
      <c r="E244" s="31"/>
      <c r="F244" s="31">
        <v>1900</v>
      </c>
      <c r="G244" s="21"/>
    </row>
    <row r="245" spans="1:7" x14ac:dyDescent="0.25">
      <c r="A245" s="2">
        <v>321</v>
      </c>
      <c r="B245" s="20" t="s">
        <v>11</v>
      </c>
      <c r="C245" s="20"/>
      <c r="D245" s="46">
        <v>1100</v>
      </c>
      <c r="E245" s="46">
        <v>1100</v>
      </c>
      <c r="F245" s="46">
        <v>400</v>
      </c>
      <c r="G245" s="20">
        <f>F245/E245*100</f>
        <v>36.363636363636367</v>
      </c>
    </row>
    <row r="246" spans="1:7" x14ac:dyDescent="0.25">
      <c r="A246" s="3">
        <v>3212</v>
      </c>
      <c r="B246" s="21" t="s">
        <v>222</v>
      </c>
      <c r="C246" s="21"/>
      <c r="D246" s="31"/>
      <c r="E246" s="31"/>
      <c r="F246" s="31">
        <v>400</v>
      </c>
      <c r="G246" s="21"/>
    </row>
    <row r="247" spans="1:7" x14ac:dyDescent="0.25">
      <c r="A247" s="50"/>
      <c r="B247" s="40"/>
      <c r="C247" s="40"/>
      <c r="D247" s="40"/>
      <c r="E247" s="40"/>
      <c r="F247" s="40"/>
      <c r="G247" s="40"/>
    </row>
    <row r="248" spans="1:7" x14ac:dyDescent="0.25">
      <c r="A248" s="50"/>
      <c r="B248" s="40"/>
      <c r="C248" s="40"/>
      <c r="D248" s="40"/>
      <c r="E248" s="40"/>
      <c r="F248" s="40"/>
      <c r="G248" s="40"/>
    </row>
    <row r="249" spans="1:7" x14ac:dyDescent="0.25">
      <c r="A249" s="50"/>
      <c r="B249" s="8"/>
      <c r="C249" s="8"/>
      <c r="D249" s="8"/>
      <c r="E249" s="8"/>
      <c r="F249" s="8"/>
      <c r="G249" s="8"/>
    </row>
    <row r="250" spans="1:7" x14ac:dyDescent="0.25">
      <c r="A250" s="8"/>
      <c r="B250" s="8"/>
      <c r="C250" s="8"/>
      <c r="D250" s="8"/>
      <c r="E250" s="8"/>
      <c r="F250" s="8"/>
      <c r="G250" s="8"/>
    </row>
    <row r="251" spans="1:7" x14ac:dyDescent="0.25">
      <c r="A251" s="9"/>
      <c r="B251" s="9"/>
      <c r="C251" s="9"/>
      <c r="D251" s="9"/>
      <c r="E251" s="9"/>
      <c r="F251" s="9"/>
      <c r="G251" s="9"/>
    </row>
    <row r="252" spans="1:7" x14ac:dyDescent="0.25">
      <c r="A252" s="9" t="s">
        <v>239</v>
      </c>
      <c r="B252" s="9"/>
      <c r="C252" s="9"/>
      <c r="D252" s="9"/>
      <c r="E252" s="9"/>
      <c r="F252" s="9"/>
      <c r="G252" s="9"/>
    </row>
  </sheetData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19" workbookViewId="0">
      <selection activeCell="H48" sqref="H48"/>
    </sheetView>
  </sheetViews>
  <sheetFormatPr defaultRowHeight="15" x14ac:dyDescent="0.25"/>
  <cols>
    <col min="1" max="1" width="6.85546875" customWidth="1"/>
    <col min="2" max="2" width="38.140625" customWidth="1"/>
    <col min="3" max="3" width="0.42578125" hidden="1" customWidth="1"/>
    <col min="4" max="4" width="11.5703125" bestFit="1" customWidth="1"/>
    <col min="5" max="6" width="10.42578125" bestFit="1" customWidth="1"/>
  </cols>
  <sheetData>
    <row r="1" spans="1:7" ht="19.5" customHeight="1" x14ac:dyDescent="0.25"/>
    <row r="2" spans="1:7" x14ac:dyDescent="0.25">
      <c r="A2" s="22"/>
      <c r="B2" s="4" t="s">
        <v>243</v>
      </c>
      <c r="C2" s="22"/>
      <c r="D2" s="22"/>
      <c r="E2" s="22"/>
      <c r="F2" s="22"/>
      <c r="G2" s="22"/>
    </row>
    <row r="3" spans="1:7" x14ac:dyDescent="0.25">
      <c r="A3" s="22"/>
      <c r="B3" s="22"/>
      <c r="C3" s="22"/>
      <c r="D3" s="22"/>
      <c r="E3" s="22"/>
      <c r="F3" s="22"/>
      <c r="G3" s="22"/>
    </row>
    <row r="4" spans="1:7" x14ac:dyDescent="0.25">
      <c r="A4" s="21"/>
      <c r="B4" s="21" t="s">
        <v>127</v>
      </c>
      <c r="C4" s="13"/>
      <c r="D4" s="13" t="s">
        <v>3</v>
      </c>
      <c r="E4" s="13" t="s">
        <v>4</v>
      </c>
      <c r="F4" s="13" t="s">
        <v>7</v>
      </c>
      <c r="G4" s="13" t="s">
        <v>5</v>
      </c>
    </row>
    <row r="5" spans="1:7" x14ac:dyDescent="0.25">
      <c r="A5" s="13">
        <v>2101</v>
      </c>
      <c r="B5" s="13" t="s">
        <v>6</v>
      </c>
      <c r="C5" s="13"/>
      <c r="D5" s="17">
        <f>194736+516519.1+4500+5032000</f>
        <v>5747755.0999999996</v>
      </c>
      <c r="E5" s="17">
        <f>E6+E8+E10</f>
        <v>5747755.0999999996</v>
      </c>
      <c r="F5" s="17">
        <f>F6+F8+F10</f>
        <v>5807023.8700000001</v>
      </c>
      <c r="G5" s="17">
        <f>F5/E5*100</f>
        <v>101.03116380167276</v>
      </c>
    </row>
    <row r="6" spans="1:7" x14ac:dyDescent="0.25">
      <c r="A6" s="21">
        <v>67</v>
      </c>
      <c r="B6" s="21" t="s">
        <v>1</v>
      </c>
      <c r="C6" s="31"/>
      <c r="D6" s="31">
        <f>D7</f>
        <v>711255.1</v>
      </c>
      <c r="E6" s="31">
        <f>E7</f>
        <v>711255.1</v>
      </c>
      <c r="F6" s="31">
        <f>F7</f>
        <v>711306.12</v>
      </c>
      <c r="G6" s="21">
        <f>F6/E6*100</f>
        <v>100.00717323503198</v>
      </c>
    </row>
    <row r="7" spans="1:7" x14ac:dyDescent="0.25">
      <c r="A7" s="21">
        <v>671</v>
      </c>
      <c r="B7" s="21" t="s">
        <v>125</v>
      </c>
      <c r="C7" s="31"/>
      <c r="D7" s="31">
        <f>194736+516519.1</f>
        <v>711255.1</v>
      </c>
      <c r="E7" s="31">
        <f>194736+516519.1</f>
        <v>711255.1</v>
      </c>
      <c r="F7" s="31">
        <f>194736+516570.12</f>
        <v>711306.12</v>
      </c>
      <c r="G7" s="21">
        <f>F7/E7*100</f>
        <v>100.00717323503198</v>
      </c>
    </row>
    <row r="8" spans="1:7" x14ac:dyDescent="0.25">
      <c r="A8" s="21">
        <v>65</v>
      </c>
      <c r="B8" s="21" t="s">
        <v>136</v>
      </c>
      <c r="C8" s="31"/>
      <c r="D8" s="31">
        <v>4500</v>
      </c>
      <c r="E8" s="31">
        <v>4500</v>
      </c>
      <c r="F8" s="31">
        <v>3580</v>
      </c>
      <c r="G8" s="21">
        <f>F9/E9*100</f>
        <v>79.555555555555557</v>
      </c>
    </row>
    <row r="9" spans="1:7" x14ac:dyDescent="0.25">
      <c r="A9" s="32">
        <v>6526</v>
      </c>
      <c r="B9" s="32" t="s">
        <v>135</v>
      </c>
      <c r="C9" s="21"/>
      <c r="D9" s="31">
        <v>4500</v>
      </c>
      <c r="E9" s="31">
        <v>4500</v>
      </c>
      <c r="F9" s="33">
        <v>3580</v>
      </c>
      <c r="G9" s="21">
        <f>F9/E9*100</f>
        <v>79.555555555555557</v>
      </c>
    </row>
    <row r="10" spans="1:7" x14ac:dyDescent="0.25">
      <c r="A10" s="32">
        <v>63</v>
      </c>
      <c r="B10" s="32" t="s">
        <v>177</v>
      </c>
      <c r="C10" s="21"/>
      <c r="D10" s="21">
        <v>5032000</v>
      </c>
      <c r="E10" s="21">
        <v>5032000</v>
      </c>
      <c r="F10" s="33">
        <v>5092137.75</v>
      </c>
      <c r="G10" s="21">
        <f>F10/E10*100</f>
        <v>101.19510631955484</v>
      </c>
    </row>
    <row r="11" spans="1:7" x14ac:dyDescent="0.25">
      <c r="A11" s="32">
        <v>636</v>
      </c>
      <c r="B11" s="32" t="s">
        <v>178</v>
      </c>
      <c r="C11" s="21"/>
      <c r="D11" s="21">
        <v>5032000</v>
      </c>
      <c r="E11" s="21">
        <v>5032000</v>
      </c>
      <c r="F11" s="33">
        <v>5092137.75</v>
      </c>
      <c r="G11" s="21">
        <f>F11/E11*100</f>
        <v>101.19510631955484</v>
      </c>
    </row>
    <row r="12" spans="1:7" x14ac:dyDescent="0.25">
      <c r="A12" s="22"/>
      <c r="B12" s="22"/>
      <c r="C12" s="22"/>
      <c r="D12" s="22"/>
      <c r="E12" s="22"/>
      <c r="F12" s="22"/>
      <c r="G12" s="22"/>
    </row>
    <row r="13" spans="1:7" x14ac:dyDescent="0.25">
      <c r="A13" s="21"/>
      <c r="B13" s="21" t="s">
        <v>127</v>
      </c>
      <c r="C13" s="13"/>
      <c r="D13" s="13" t="s">
        <v>3</v>
      </c>
      <c r="E13" s="13" t="s">
        <v>4</v>
      </c>
      <c r="F13" s="13" t="s">
        <v>7</v>
      </c>
      <c r="G13" s="13" t="s">
        <v>5</v>
      </c>
    </row>
    <row r="14" spans="1:7" x14ac:dyDescent="0.25">
      <c r="A14" s="24">
        <v>2102</v>
      </c>
      <c r="B14" s="24" t="s">
        <v>41</v>
      </c>
      <c r="C14" s="24"/>
      <c r="D14" s="48">
        <f>D15</f>
        <v>218500</v>
      </c>
      <c r="E14" s="48">
        <f>D15</f>
        <v>218500</v>
      </c>
      <c r="F14" s="48">
        <f>F15</f>
        <v>199547.38</v>
      </c>
      <c r="G14" s="24">
        <f>F14/E14*100</f>
        <v>91.32603203661327</v>
      </c>
    </row>
    <row r="15" spans="1:7" x14ac:dyDescent="0.25">
      <c r="A15" s="21">
        <v>67</v>
      </c>
      <c r="B15" s="21" t="s">
        <v>1</v>
      </c>
      <c r="C15" s="31"/>
      <c r="D15" s="31">
        <f>D16</f>
        <v>218500</v>
      </c>
      <c r="E15" s="31">
        <f>E16</f>
        <v>218500</v>
      </c>
      <c r="F15" s="31">
        <f>F16</f>
        <v>199547.38</v>
      </c>
      <c r="G15" s="21">
        <f>F15/E15*100</f>
        <v>91.32603203661327</v>
      </c>
    </row>
    <row r="16" spans="1:7" x14ac:dyDescent="0.25">
      <c r="A16" s="21">
        <v>6711</v>
      </c>
      <c r="B16" s="21" t="s">
        <v>125</v>
      </c>
      <c r="C16" s="31"/>
      <c r="D16" s="31">
        <f>8500+210000</f>
        <v>218500</v>
      </c>
      <c r="E16" s="31">
        <f>210000+8500</f>
        <v>218500</v>
      </c>
      <c r="F16" s="31">
        <f>8465.21+191082.17</f>
        <v>199547.38</v>
      </c>
      <c r="G16" s="21">
        <f>F16/E16*100</f>
        <v>91.32603203661327</v>
      </c>
    </row>
    <row r="17" spans="1:7" x14ac:dyDescent="0.25">
      <c r="A17" s="22"/>
      <c r="B17" s="22"/>
      <c r="C17" s="22"/>
      <c r="D17" s="22"/>
      <c r="E17" s="22"/>
      <c r="F17" s="22"/>
      <c r="G17" s="22"/>
    </row>
    <row r="18" spans="1:7" x14ac:dyDescent="0.25">
      <c r="A18" s="21"/>
      <c r="B18" s="21" t="s">
        <v>127</v>
      </c>
      <c r="C18" s="13"/>
      <c r="D18" s="13" t="s">
        <v>3</v>
      </c>
      <c r="E18" s="13" t="s">
        <v>4</v>
      </c>
      <c r="F18" s="13" t="s">
        <v>7</v>
      </c>
      <c r="G18" s="13" t="s">
        <v>5</v>
      </c>
    </row>
    <row r="19" spans="1:7" x14ac:dyDescent="0.25">
      <c r="A19" s="13">
        <v>2301</v>
      </c>
      <c r="B19" s="13" t="s">
        <v>116</v>
      </c>
      <c r="C19" s="13"/>
      <c r="D19" s="17">
        <f>D20+D21+D22+D23+D24+D25+D29+D30</f>
        <v>1329611.1800000002</v>
      </c>
      <c r="E19" s="17">
        <f>E20+E21+E22+E23+E24+E25+E29+E30</f>
        <v>1329611.18</v>
      </c>
      <c r="F19" s="17">
        <f>F20+F21+F22+F23+F24+F25+F29+F30</f>
        <v>1175755.43</v>
      </c>
      <c r="G19" s="17">
        <f t="shared" ref="G19:G31" si="0">F19/E19*100</f>
        <v>88.4285156206343</v>
      </c>
    </row>
    <row r="20" spans="1:7" x14ac:dyDescent="0.25">
      <c r="A20" s="21">
        <v>636</v>
      </c>
      <c r="B20" s="21" t="s">
        <v>134</v>
      </c>
      <c r="C20" s="21"/>
      <c r="D20" s="31">
        <f>20000+182285+2364+10047+1478+4432+591+2069+2216+1478+1773+260+591</f>
        <v>229584</v>
      </c>
      <c r="E20" s="31">
        <f>D20</f>
        <v>229584</v>
      </c>
      <c r="F20" s="31">
        <f>12293+138448.45+11977.41+22862.44+6479.13+2427.98+1473.62+588.02+525+114.59+1341+217.04+295+295+580.66+222.07+2393.55</f>
        <v>202533.96000000002</v>
      </c>
      <c r="G20" s="31">
        <f t="shared" si="0"/>
        <v>88.217802634329928</v>
      </c>
    </row>
    <row r="21" spans="1:7" x14ac:dyDescent="0.25">
      <c r="A21" s="21">
        <v>636</v>
      </c>
      <c r="B21" s="21" t="s">
        <v>130</v>
      </c>
      <c r="C21" s="21"/>
      <c r="D21" s="31">
        <f>55000+434585+5636+23953+3522+10568+1409+4931+5284+3522+4227+6340+1409</f>
        <v>560386</v>
      </c>
      <c r="E21" s="31">
        <f>D21</f>
        <v>560386</v>
      </c>
      <c r="F21" s="31">
        <f>31331+332736.65+31176.56+54506.3+15446.87+5788.57+3513.26+1401.91+1233+283.91+3205+514.08+705+705+1384.34+529.43+5706.45</f>
        <v>490167.33</v>
      </c>
      <c r="G21" s="31">
        <f t="shared" si="0"/>
        <v>87.469588819135382</v>
      </c>
    </row>
    <row r="22" spans="1:7" x14ac:dyDescent="0.25">
      <c r="A22" s="21">
        <v>636</v>
      </c>
      <c r="B22" s="21" t="s">
        <v>132</v>
      </c>
      <c r="C22" s="21"/>
      <c r="D22" s="31">
        <v>111510</v>
      </c>
      <c r="E22" s="31">
        <v>111510</v>
      </c>
      <c r="F22" s="31">
        <v>111510.31</v>
      </c>
      <c r="G22" s="31">
        <f t="shared" si="0"/>
        <v>100.0002780019729</v>
      </c>
    </row>
    <row r="23" spans="1:7" x14ac:dyDescent="0.25">
      <c r="A23" s="21">
        <v>638</v>
      </c>
      <c r="B23" s="21" t="s">
        <v>133</v>
      </c>
      <c r="C23" s="21"/>
      <c r="D23" s="31">
        <v>12000</v>
      </c>
      <c r="E23" s="31">
        <v>12000</v>
      </c>
      <c r="F23" s="31">
        <v>11991.14</v>
      </c>
      <c r="G23" s="31">
        <f t="shared" si="0"/>
        <v>99.92616666666666</v>
      </c>
    </row>
    <row r="24" spans="1:7" x14ac:dyDescent="0.25">
      <c r="A24" s="21">
        <v>639</v>
      </c>
      <c r="B24" s="21" t="s">
        <v>181</v>
      </c>
      <c r="C24" s="21"/>
      <c r="D24" s="31">
        <v>200</v>
      </c>
      <c r="E24" s="31">
        <v>200</v>
      </c>
      <c r="F24" s="31">
        <v>200</v>
      </c>
      <c r="G24" s="31">
        <v>100</v>
      </c>
    </row>
    <row r="25" spans="1:7" x14ac:dyDescent="0.25">
      <c r="A25" s="21">
        <v>65</v>
      </c>
      <c r="B25" s="21" t="s">
        <v>128</v>
      </c>
      <c r="C25" s="21"/>
      <c r="D25" s="31">
        <f>D26+D27</f>
        <v>381000</v>
      </c>
      <c r="E25" s="31">
        <f>E26+D27</f>
        <v>381000</v>
      </c>
      <c r="F25" s="31">
        <f>F26+F27+F28</f>
        <v>324421.51</v>
      </c>
      <c r="G25" s="31">
        <f t="shared" si="0"/>
        <v>85.150002624671913</v>
      </c>
    </row>
    <row r="26" spans="1:7" x14ac:dyDescent="0.25">
      <c r="A26" s="21">
        <v>652</v>
      </c>
      <c r="B26" s="21" t="s">
        <v>129</v>
      </c>
      <c r="C26" s="21"/>
      <c r="D26" s="31">
        <v>369000</v>
      </c>
      <c r="E26" s="31">
        <v>369000</v>
      </c>
      <c r="F26" s="56">
        <f>368045.51-31331-12293-12040</f>
        <v>312381.51</v>
      </c>
      <c r="G26" s="31">
        <f t="shared" si="0"/>
        <v>84.656235772357718</v>
      </c>
    </row>
    <row r="27" spans="1:7" x14ac:dyDescent="0.25">
      <c r="A27" s="21">
        <v>652</v>
      </c>
      <c r="B27" s="21" t="s">
        <v>180</v>
      </c>
      <c r="C27" s="21"/>
      <c r="D27" s="31">
        <v>12000</v>
      </c>
      <c r="E27" s="31">
        <v>12000</v>
      </c>
      <c r="F27" s="31">
        <v>12040</v>
      </c>
      <c r="G27" s="31">
        <f>F27/E27*100</f>
        <v>100.33333333333334</v>
      </c>
    </row>
    <row r="28" spans="1:7" x14ac:dyDescent="0.25">
      <c r="A28" s="21">
        <v>652</v>
      </c>
      <c r="B28" s="21" t="s">
        <v>182</v>
      </c>
      <c r="C28" s="21"/>
      <c r="D28" s="31">
        <v>0</v>
      </c>
      <c r="E28" s="31">
        <v>0</v>
      </c>
      <c r="F28" s="31">
        <v>0</v>
      </c>
      <c r="G28" s="31">
        <v>0</v>
      </c>
    </row>
    <row r="29" spans="1:7" x14ac:dyDescent="0.25">
      <c r="A29" s="21">
        <v>663</v>
      </c>
      <c r="B29" s="21" t="s">
        <v>183</v>
      </c>
      <c r="C29" s="21"/>
      <c r="D29" s="56">
        <v>17768.79</v>
      </c>
      <c r="E29" s="56">
        <v>17768.79</v>
      </c>
      <c r="F29" s="56">
        <v>17768.79</v>
      </c>
      <c r="G29" s="31">
        <f>F29/E29*100</f>
        <v>100</v>
      </c>
    </row>
    <row r="30" spans="1:7" x14ac:dyDescent="0.25">
      <c r="A30" s="21">
        <v>67</v>
      </c>
      <c r="B30" s="21" t="s">
        <v>1</v>
      </c>
      <c r="C30" s="21"/>
      <c r="D30" s="31">
        <f>D31</f>
        <v>17162.390000000014</v>
      </c>
      <c r="E30" s="31">
        <f>E31</f>
        <v>17162.39</v>
      </c>
      <c r="F30" s="31">
        <v>17162.39</v>
      </c>
      <c r="G30" s="31">
        <f t="shared" si="0"/>
        <v>100</v>
      </c>
    </row>
    <row r="31" spans="1:7" x14ac:dyDescent="0.25">
      <c r="A31" s="21">
        <v>671</v>
      </c>
      <c r="B31" s="21" t="s">
        <v>125</v>
      </c>
      <c r="C31" s="21"/>
      <c r="D31" s="31">
        <f>1063633.74-194736-516519.1-54400-45000-17316.25-218500</f>
        <v>17162.390000000014</v>
      </c>
      <c r="E31" s="31">
        <f>17162.39</f>
        <v>17162.39</v>
      </c>
      <c r="F31" s="31">
        <v>17162.39</v>
      </c>
      <c r="G31" s="31">
        <f t="shared" si="0"/>
        <v>100</v>
      </c>
    </row>
    <row r="32" spans="1:7" x14ac:dyDescent="0.25">
      <c r="A32" s="21"/>
      <c r="B32" s="21"/>
      <c r="C32" s="21"/>
      <c r="D32" s="21"/>
      <c r="E32" s="21"/>
      <c r="F32" s="21"/>
      <c r="G32" s="21"/>
    </row>
    <row r="33" spans="1:7" x14ac:dyDescent="0.25">
      <c r="A33" s="21"/>
      <c r="B33" s="21" t="s">
        <v>127</v>
      </c>
      <c r="C33" s="13"/>
      <c r="D33" s="13" t="s">
        <v>3</v>
      </c>
      <c r="E33" s="13" t="s">
        <v>4</v>
      </c>
      <c r="F33" s="13" t="s">
        <v>7</v>
      </c>
      <c r="G33" s="13" t="s">
        <v>5</v>
      </c>
    </row>
    <row r="34" spans="1:7" x14ac:dyDescent="0.25">
      <c r="A34" s="24">
        <v>2302</v>
      </c>
      <c r="B34" s="24" t="s">
        <v>113</v>
      </c>
      <c r="C34" s="24"/>
      <c r="D34" s="48">
        <f>D35</f>
        <v>432</v>
      </c>
      <c r="E34" s="48">
        <f>E35</f>
        <v>432</v>
      </c>
      <c r="F34" s="48">
        <f>F35</f>
        <v>432</v>
      </c>
      <c r="G34" s="48">
        <f>F34/E34*100</f>
        <v>100</v>
      </c>
    </row>
    <row r="35" spans="1:7" x14ac:dyDescent="0.25">
      <c r="A35" s="21">
        <v>638</v>
      </c>
      <c r="B35" s="21" t="s">
        <v>115</v>
      </c>
      <c r="C35" s="21"/>
      <c r="D35" s="31">
        <v>432</v>
      </c>
      <c r="E35" s="31">
        <v>432</v>
      </c>
      <c r="F35" s="31">
        <v>432</v>
      </c>
      <c r="G35" s="31">
        <v>100</v>
      </c>
    </row>
    <row r="36" spans="1:7" x14ac:dyDescent="0.25">
      <c r="A36" s="24">
        <v>2401</v>
      </c>
      <c r="B36" s="24" t="s">
        <v>223</v>
      </c>
      <c r="C36" s="24"/>
      <c r="D36" s="48">
        <v>45000</v>
      </c>
      <c r="E36" s="48">
        <v>45000</v>
      </c>
      <c r="F36" s="48">
        <v>47685</v>
      </c>
      <c r="G36" s="24">
        <f>F36/E36*100</f>
        <v>105.96666666666667</v>
      </c>
    </row>
    <row r="37" spans="1:7" x14ac:dyDescent="0.25">
      <c r="A37" s="21">
        <v>671</v>
      </c>
      <c r="B37" s="21" t="s">
        <v>225</v>
      </c>
      <c r="C37" s="21"/>
      <c r="D37" s="31">
        <v>45000</v>
      </c>
      <c r="E37" s="31">
        <v>45000</v>
      </c>
      <c r="F37" s="31">
        <v>47685</v>
      </c>
      <c r="G37" s="31">
        <f>F37/E37*100</f>
        <v>105.96666666666667</v>
      </c>
    </row>
    <row r="38" spans="1:7" x14ac:dyDescent="0.25">
      <c r="A38" s="21"/>
      <c r="B38" s="21" t="s">
        <v>124</v>
      </c>
      <c r="C38" s="21"/>
      <c r="D38" s="13" t="s">
        <v>3</v>
      </c>
      <c r="E38" s="13" t="s">
        <v>4</v>
      </c>
      <c r="F38" s="13" t="s">
        <v>7</v>
      </c>
      <c r="G38" s="13" t="s">
        <v>5</v>
      </c>
    </row>
    <row r="39" spans="1:7" x14ac:dyDescent="0.25">
      <c r="A39" s="24">
        <v>2405</v>
      </c>
      <c r="B39" s="24" t="s">
        <v>117</v>
      </c>
      <c r="C39" s="24"/>
      <c r="D39" s="48">
        <f>D40+D41+D42</f>
        <v>340316.25</v>
      </c>
      <c r="E39" s="48">
        <f>E40+E41+E42</f>
        <v>340316.25</v>
      </c>
      <c r="F39" s="48">
        <f>F42+F40+F41</f>
        <v>275807.40999999997</v>
      </c>
      <c r="G39" s="24">
        <f t="shared" ref="G39:G44" si="1">F39/E39*100</f>
        <v>81.044443220093072</v>
      </c>
    </row>
    <row r="40" spans="1:7" x14ac:dyDescent="0.25">
      <c r="A40" s="21">
        <v>636</v>
      </c>
      <c r="B40" s="21" t="s">
        <v>184</v>
      </c>
      <c r="C40" s="21"/>
      <c r="D40" s="31">
        <v>3000</v>
      </c>
      <c r="E40" s="31">
        <v>3000</v>
      </c>
      <c r="F40" s="31">
        <f>3000</f>
        <v>3000</v>
      </c>
      <c r="G40" s="31">
        <f t="shared" si="1"/>
        <v>100</v>
      </c>
    </row>
    <row r="41" spans="1:7" x14ac:dyDescent="0.25">
      <c r="A41" s="21">
        <v>671</v>
      </c>
      <c r="B41" s="21" t="s">
        <v>224</v>
      </c>
      <c r="C41" s="21"/>
      <c r="D41" s="31">
        <f>3000+14316.25</f>
        <v>17316.25</v>
      </c>
      <c r="E41" s="31">
        <f>14316.25+3000</f>
        <v>17316.25</v>
      </c>
      <c r="F41" s="31">
        <f>3000+14316.25</f>
        <v>17316.25</v>
      </c>
      <c r="G41" s="31">
        <f t="shared" si="1"/>
        <v>100</v>
      </c>
    </row>
    <row r="42" spans="1:7" x14ac:dyDescent="0.25">
      <c r="A42" s="21">
        <v>636</v>
      </c>
      <c r="B42" s="21" t="s">
        <v>179</v>
      </c>
      <c r="C42" s="21"/>
      <c r="D42" s="31">
        <v>320000</v>
      </c>
      <c r="E42" s="31">
        <f>320000</f>
        <v>320000</v>
      </c>
      <c r="F42" s="31">
        <f>F43+F44</f>
        <v>255491.15999999997</v>
      </c>
      <c r="G42" s="31">
        <f t="shared" si="1"/>
        <v>79.840987499999997</v>
      </c>
    </row>
    <row r="43" spans="1:7" x14ac:dyDescent="0.25">
      <c r="A43" s="21">
        <v>636</v>
      </c>
      <c r="B43" s="21" t="s">
        <v>130</v>
      </c>
      <c r="C43" s="21"/>
      <c r="D43" s="31">
        <v>225440</v>
      </c>
      <c r="E43" s="31">
        <v>225440</v>
      </c>
      <c r="F43" s="46">
        <f>14083.77+165909.75</f>
        <v>179993.52</v>
      </c>
      <c r="G43" s="31">
        <f t="shared" si="1"/>
        <v>79.840986515259047</v>
      </c>
    </row>
    <row r="44" spans="1:7" x14ac:dyDescent="0.25">
      <c r="A44" s="21">
        <v>636</v>
      </c>
      <c r="B44" s="21" t="s">
        <v>131</v>
      </c>
      <c r="C44" s="21"/>
      <c r="D44" s="31">
        <v>94560</v>
      </c>
      <c r="E44" s="31">
        <v>94560</v>
      </c>
      <c r="F44" s="46">
        <f>5907.39+69590.25</f>
        <v>75497.64</v>
      </c>
      <c r="G44" s="31">
        <f t="shared" si="1"/>
        <v>79.840989847715733</v>
      </c>
    </row>
    <row r="45" spans="1:7" x14ac:dyDescent="0.25">
      <c r="A45" s="24">
        <v>9108</v>
      </c>
      <c r="B45" s="24" t="s">
        <v>217</v>
      </c>
      <c r="C45" s="24"/>
      <c r="D45" s="48">
        <v>54400</v>
      </c>
      <c r="E45" s="48">
        <v>54400</v>
      </c>
      <c r="F45" s="48">
        <v>30999.040000000001</v>
      </c>
      <c r="G45" s="24">
        <f>F45/E45*100</f>
        <v>56.983529411764714</v>
      </c>
    </row>
    <row r="46" spans="1:7" x14ac:dyDescent="0.25">
      <c r="A46" s="21">
        <v>671</v>
      </c>
      <c r="B46" s="21" t="s">
        <v>224</v>
      </c>
      <c r="C46" s="21"/>
      <c r="D46" s="31">
        <v>54400</v>
      </c>
      <c r="E46" s="31">
        <v>54400</v>
      </c>
      <c r="F46" s="31">
        <v>30999.040000000001</v>
      </c>
      <c r="G46" s="31">
        <f>F46/E46*100</f>
        <v>56.983529411764714</v>
      </c>
    </row>
    <row r="47" spans="1:7" x14ac:dyDescent="0.25">
      <c r="A47" s="41" t="s">
        <v>149</v>
      </c>
      <c r="B47" s="41"/>
      <c r="C47" s="41"/>
      <c r="D47" s="42">
        <f>D5+D14+D19+D34+D36+D39+D45</f>
        <v>7736014.5299999993</v>
      </c>
      <c r="E47" s="60">
        <f>E5+E14+E19+E34+E36+E39+E45</f>
        <v>7736014.5299999993</v>
      </c>
      <c r="F47" s="62">
        <f>F5+F14+F19+F34+F36+F39+F45</f>
        <v>7537250.1299999999</v>
      </c>
      <c r="G47" s="6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workbookViewId="0">
      <selection activeCell="E28" sqref="E28"/>
    </sheetView>
  </sheetViews>
  <sheetFormatPr defaultRowHeight="15" x14ac:dyDescent="0.25"/>
  <cols>
    <col min="2" max="2" width="24.28515625" customWidth="1"/>
    <col min="3" max="3" width="12.28515625" customWidth="1"/>
    <col min="4" max="4" width="10.5703125" customWidth="1"/>
    <col min="5" max="5" width="12.5703125" customWidth="1"/>
  </cols>
  <sheetData>
    <row r="2" spans="1:9" x14ac:dyDescent="0.25">
      <c r="D2" s="10" t="s">
        <v>137</v>
      </c>
      <c r="E2" s="1"/>
      <c r="F2" s="1"/>
    </row>
    <row r="3" spans="1:9" x14ac:dyDescent="0.25">
      <c r="D3" s="10" t="s">
        <v>144</v>
      </c>
      <c r="E3" s="1"/>
      <c r="F3" s="1"/>
    </row>
    <row r="4" spans="1:9" x14ac:dyDescent="0.25">
      <c r="D4" s="10" t="s">
        <v>139</v>
      </c>
    </row>
    <row r="5" spans="1:9" x14ac:dyDescent="0.25">
      <c r="B5" t="s">
        <v>142</v>
      </c>
      <c r="D5" s="11" t="s">
        <v>143</v>
      </c>
      <c r="G5" s="1"/>
    </row>
    <row r="6" spans="1:9" x14ac:dyDescent="0.25">
      <c r="D6" s="11"/>
      <c r="G6" s="1"/>
    </row>
    <row r="7" spans="1:9" x14ac:dyDescent="0.25">
      <c r="D7" s="8"/>
      <c r="E7" s="8"/>
      <c r="F7" s="8"/>
      <c r="G7" s="8"/>
      <c r="H7" s="8"/>
      <c r="I7" s="8"/>
    </row>
    <row r="8" spans="1:9" x14ac:dyDescent="0.25">
      <c r="A8" t="s">
        <v>232</v>
      </c>
    </row>
    <row r="11" spans="1:9" x14ac:dyDescent="0.25">
      <c r="A11" s="65" t="s">
        <v>228</v>
      </c>
      <c r="B11" s="65" t="s">
        <v>229</v>
      </c>
      <c r="C11" s="65" t="s">
        <v>3</v>
      </c>
      <c r="D11" s="65" t="s">
        <v>4</v>
      </c>
      <c r="E11" s="65" t="s">
        <v>2</v>
      </c>
      <c r="F11" s="65" t="s">
        <v>5</v>
      </c>
    </row>
    <row r="12" spans="1:9" x14ac:dyDescent="0.25">
      <c r="A12" s="65"/>
      <c r="B12" s="65" t="s">
        <v>230</v>
      </c>
      <c r="C12" s="65" t="s">
        <v>231</v>
      </c>
      <c r="D12" s="65" t="s">
        <v>231</v>
      </c>
      <c r="E12" s="65">
        <v>2021</v>
      </c>
      <c r="F12" s="65">
        <f>(F15+F21+F27)/3</f>
        <v>92.592415837079486</v>
      </c>
    </row>
    <row r="13" spans="1:9" x14ac:dyDescent="0.25">
      <c r="A13" s="65">
        <v>1</v>
      </c>
      <c r="B13" s="65" t="s">
        <v>233</v>
      </c>
      <c r="C13" s="65"/>
      <c r="D13" s="65"/>
      <c r="E13" s="65"/>
      <c r="F13" s="65"/>
    </row>
    <row r="14" spans="1:9" x14ac:dyDescent="0.25">
      <c r="A14" s="65"/>
      <c r="B14" s="65" t="s">
        <v>153</v>
      </c>
      <c r="C14" s="65">
        <v>0</v>
      </c>
      <c r="D14" s="65">
        <v>0</v>
      </c>
      <c r="E14" s="65">
        <v>0</v>
      </c>
      <c r="F14" s="65">
        <v>0</v>
      </c>
    </row>
    <row r="15" spans="1:9" x14ac:dyDescent="0.25">
      <c r="A15" s="65"/>
      <c r="B15" s="65" t="s">
        <v>124</v>
      </c>
      <c r="C15" s="65">
        <f>711255.1+218500+17162.39+45000+17316.25+54400</f>
        <v>1063633.74</v>
      </c>
      <c r="D15" s="65">
        <f>C15</f>
        <v>1063633.74</v>
      </c>
      <c r="E15" s="65">
        <f>711306.12+199547.38+17162.39+47685+17316.25+30999.04</f>
        <v>1024016.18</v>
      </c>
      <c r="F15" s="65">
        <f>E15/D15*100</f>
        <v>96.275262949067425</v>
      </c>
    </row>
    <row r="16" spans="1:9" x14ac:dyDescent="0.25">
      <c r="A16" s="65"/>
      <c r="B16" s="65" t="s">
        <v>234</v>
      </c>
      <c r="C16" s="65">
        <f>711255.1+218500+17162.39+45000+17316.25+54400</f>
        <v>1063633.74</v>
      </c>
      <c r="D16" s="65">
        <f>C16</f>
        <v>1063633.74</v>
      </c>
      <c r="E16" s="65">
        <v>1024016.18</v>
      </c>
      <c r="F16" s="65">
        <f>E16/D16*100</f>
        <v>96.275262949067425</v>
      </c>
    </row>
    <row r="17" spans="1:6" x14ac:dyDescent="0.25">
      <c r="A17" s="65"/>
      <c r="B17" s="65" t="s">
        <v>235</v>
      </c>
      <c r="C17" s="65">
        <v>0</v>
      </c>
      <c r="D17" s="65">
        <v>0</v>
      </c>
      <c r="E17" s="65">
        <v>0</v>
      </c>
      <c r="F17" s="65">
        <v>0</v>
      </c>
    </row>
    <row r="18" spans="1:6" x14ac:dyDescent="0.25">
      <c r="A18" s="65"/>
      <c r="B18" s="65"/>
      <c r="C18" s="65"/>
      <c r="D18" s="65"/>
      <c r="E18" s="65"/>
      <c r="F18" s="65"/>
    </row>
    <row r="19" spans="1:6" x14ac:dyDescent="0.25">
      <c r="A19" s="65">
        <v>2</v>
      </c>
      <c r="B19" s="65" t="s">
        <v>147</v>
      </c>
      <c r="C19" s="65"/>
      <c r="D19" s="65"/>
      <c r="E19" s="65"/>
      <c r="F19" s="65"/>
    </row>
    <row r="20" spans="1:6" x14ac:dyDescent="0.25">
      <c r="A20" s="65"/>
      <c r="B20" s="65" t="s">
        <v>153</v>
      </c>
      <c r="C20" s="65">
        <v>15992.79</v>
      </c>
      <c r="D20" s="65">
        <v>15992.79</v>
      </c>
      <c r="E20" s="65">
        <v>15992.79</v>
      </c>
      <c r="F20" s="65"/>
    </row>
    <row r="21" spans="1:6" x14ac:dyDescent="0.25">
      <c r="A21" s="65"/>
      <c r="B21" s="65" t="s">
        <v>124</v>
      </c>
      <c r="C21" s="63">
        <f>4500+381000</f>
        <v>385500</v>
      </c>
      <c r="D21" s="63">
        <f>4500+381000</f>
        <v>385500</v>
      </c>
      <c r="E21" s="65">
        <f>3580+324421.51</f>
        <v>328001.51</v>
      </c>
      <c r="F21" s="65">
        <f>E21/D21*100</f>
        <v>85.084697795071335</v>
      </c>
    </row>
    <row r="22" spans="1:6" x14ac:dyDescent="0.25">
      <c r="A22" s="65"/>
      <c r="B22" s="65" t="s">
        <v>234</v>
      </c>
      <c r="C22" s="65">
        <f>C21+C20</f>
        <v>401492.79</v>
      </c>
      <c r="D22" s="63">
        <f>D20+D21</f>
        <v>401492.79</v>
      </c>
      <c r="E22" s="65">
        <f>E20+E21+2803.98</f>
        <v>346798.27999999997</v>
      </c>
      <c r="F22" s="65">
        <f>E22/D22*100</f>
        <v>86.377212402743268</v>
      </c>
    </row>
    <row r="23" spans="1:6" x14ac:dyDescent="0.25">
      <c r="A23" s="65"/>
      <c r="B23" s="65" t="s">
        <v>235</v>
      </c>
      <c r="C23" s="65">
        <v>0</v>
      </c>
      <c r="D23" s="65">
        <v>0</v>
      </c>
      <c r="E23" s="65">
        <f>E20+E21-E22</f>
        <v>-2803.9799999999814</v>
      </c>
      <c r="F23" s="65"/>
    </row>
    <row r="24" spans="1:6" x14ac:dyDescent="0.25">
      <c r="A24" s="65"/>
      <c r="B24" s="65"/>
      <c r="C24" s="65"/>
      <c r="D24" s="65"/>
      <c r="E24" s="65"/>
      <c r="F24" s="65"/>
    </row>
    <row r="25" spans="1:6" x14ac:dyDescent="0.25">
      <c r="A25" s="65">
        <v>3</v>
      </c>
      <c r="B25" s="65" t="s">
        <v>240</v>
      </c>
      <c r="C25" s="65"/>
      <c r="D25" s="65"/>
      <c r="E25" s="65"/>
      <c r="F25" s="65"/>
    </row>
    <row r="26" spans="1:6" x14ac:dyDescent="0.25">
      <c r="A26" s="65"/>
      <c r="B26" s="65" t="s">
        <v>153</v>
      </c>
      <c r="C26" s="65">
        <v>3186.54</v>
      </c>
      <c r="D26" s="65">
        <v>3186.54</v>
      </c>
      <c r="E26" s="65">
        <v>3186.54</v>
      </c>
      <c r="F26" s="65"/>
    </row>
    <row r="27" spans="1:6" x14ac:dyDescent="0.25">
      <c r="A27" s="65"/>
      <c r="B27" s="65" t="s">
        <v>124</v>
      </c>
      <c r="C27" s="65">
        <f>5032000+17768.79+200+12000+111510+560386+229584+432+3000+320000</f>
        <v>6286880.79</v>
      </c>
      <c r="D27" s="65">
        <f>C27</f>
        <v>6286880.79</v>
      </c>
      <c r="E27" s="65">
        <f>7413657.57-1024016.18-328001.51</f>
        <v>6061639.8800000008</v>
      </c>
      <c r="F27" s="65">
        <f>E27/D27*100</f>
        <v>96.417286767099668</v>
      </c>
    </row>
    <row r="28" spans="1:6" x14ac:dyDescent="0.25">
      <c r="A28" s="65"/>
      <c r="B28" s="65" t="s">
        <v>234</v>
      </c>
      <c r="C28" s="65">
        <f>C26+C27</f>
        <v>6290067.3300000001</v>
      </c>
      <c r="D28" s="65">
        <f>C28</f>
        <v>6290067.3300000001</v>
      </c>
      <c r="E28" s="65">
        <f>E26+E27+6000+1950-3120-1310-1171.09+2216.25</f>
        <v>6069391.580000001</v>
      </c>
      <c r="F28" s="65">
        <f>E28/D28*100</f>
        <v>96.491679048529377</v>
      </c>
    </row>
    <row r="29" spans="1:6" x14ac:dyDescent="0.25">
      <c r="A29" s="65"/>
      <c r="B29" s="65" t="s">
        <v>235</v>
      </c>
      <c r="C29" s="65"/>
      <c r="D29" s="65"/>
      <c r="E29" s="65">
        <f>E26+E27-E28</f>
        <v>-4565.160000000149</v>
      </c>
      <c r="F29" s="65"/>
    </row>
    <row r="32" spans="1:6" x14ac:dyDescent="0.25">
      <c r="C32" s="64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0"/>
  <sheetViews>
    <sheetView topLeftCell="A25" workbookViewId="0">
      <selection activeCell="B2" sqref="B2"/>
    </sheetView>
  </sheetViews>
  <sheetFormatPr defaultRowHeight="15" x14ac:dyDescent="0.25"/>
  <cols>
    <col min="1" max="1" width="6" customWidth="1"/>
    <col min="2" max="2" width="40.140625" customWidth="1"/>
    <col min="3" max="3" width="15.28515625" customWidth="1"/>
    <col min="4" max="4" width="14.85546875" customWidth="1"/>
    <col min="5" max="5" width="13.42578125" customWidth="1"/>
  </cols>
  <sheetData>
    <row r="2" spans="1:6" x14ac:dyDescent="0.25">
      <c r="A2" s="66"/>
      <c r="B2" s="67" t="s">
        <v>277</v>
      </c>
      <c r="C2" s="68"/>
      <c r="D2" s="69"/>
      <c r="E2" s="69"/>
    </row>
    <row r="3" spans="1:6" x14ac:dyDescent="0.25">
      <c r="A3" s="70" t="s">
        <v>245</v>
      </c>
      <c r="B3" s="70" t="s">
        <v>246</v>
      </c>
      <c r="C3" s="71" t="s">
        <v>274</v>
      </c>
      <c r="D3" s="71" t="s">
        <v>275</v>
      </c>
      <c r="E3" s="71" t="s">
        <v>7</v>
      </c>
      <c r="F3" s="71" t="s">
        <v>5</v>
      </c>
    </row>
    <row r="4" spans="1:6" x14ac:dyDescent="0.25">
      <c r="A4" s="72">
        <v>6</v>
      </c>
      <c r="B4" s="72" t="s">
        <v>247</v>
      </c>
      <c r="C4" s="73">
        <f>C5+C9+C11+C14+C16</f>
        <v>7736014.5300000003</v>
      </c>
      <c r="D4" s="73">
        <f>D5+D9+D11+D14+D16</f>
        <v>7736014.5300000003</v>
      </c>
      <c r="E4" s="73">
        <f>E5+E9+E11+E14</f>
        <v>7517798.4299999997</v>
      </c>
      <c r="F4" s="73">
        <f t="shared" ref="F4:F11" si="0">E4/D4*100</f>
        <v>97.179218069539999</v>
      </c>
    </row>
    <row r="5" spans="1:6" x14ac:dyDescent="0.25">
      <c r="A5" s="74">
        <v>63</v>
      </c>
      <c r="B5" s="75" t="s">
        <v>248</v>
      </c>
      <c r="C5" s="76">
        <f>C6+C7+C8</f>
        <v>6271512</v>
      </c>
      <c r="D5" s="76">
        <f>D6+D7+D8</f>
        <v>6271512</v>
      </c>
      <c r="E5" s="76">
        <f>E6+E7+E8</f>
        <v>6159837.7000000002</v>
      </c>
      <c r="F5" s="21">
        <f t="shared" si="0"/>
        <v>98.219340088961005</v>
      </c>
    </row>
    <row r="6" spans="1:6" x14ac:dyDescent="0.25">
      <c r="A6" s="74">
        <v>636</v>
      </c>
      <c r="B6" s="75" t="s">
        <v>249</v>
      </c>
      <c r="C6" s="76">
        <f>5032000+75000+616870+119510+34000+5000+15000+2000+7000+7500+5000+6000+9000+2000+23000+300000</f>
        <v>6258880</v>
      </c>
      <c r="D6" s="76">
        <f>5032000+75000+616870+119510+34000+5000+15000+2000+7000+7500+5000+6000+9000+2000+23000+300000</f>
        <v>6258880</v>
      </c>
      <c r="E6" s="76">
        <f>6061639.88-200-13162.23-15368.79+113566.61</f>
        <v>6146475.4699999997</v>
      </c>
      <c r="F6" s="21">
        <f t="shared" si="0"/>
        <v>98.204079164323318</v>
      </c>
    </row>
    <row r="7" spans="1:6" x14ac:dyDescent="0.25">
      <c r="A7" s="74">
        <v>638</v>
      </c>
      <c r="B7" s="74" t="s">
        <v>250</v>
      </c>
      <c r="C7" s="76">
        <f>12000+432</f>
        <v>12432</v>
      </c>
      <c r="D7" s="76">
        <f>12000+432</f>
        <v>12432</v>
      </c>
      <c r="E7" s="76">
        <v>13162.23</v>
      </c>
      <c r="F7" s="21">
        <f t="shared" si="0"/>
        <v>105.87379343629344</v>
      </c>
    </row>
    <row r="8" spans="1:6" x14ac:dyDescent="0.25">
      <c r="A8" s="74">
        <v>639</v>
      </c>
      <c r="B8" s="74" t="s">
        <v>251</v>
      </c>
      <c r="C8" s="76">
        <v>200</v>
      </c>
      <c r="D8" s="76">
        <v>200</v>
      </c>
      <c r="E8" s="76">
        <v>200</v>
      </c>
      <c r="F8" s="31">
        <f t="shared" si="0"/>
        <v>100</v>
      </c>
    </row>
    <row r="9" spans="1:6" x14ac:dyDescent="0.25">
      <c r="A9" s="77">
        <v>65</v>
      </c>
      <c r="B9" s="77" t="s">
        <v>252</v>
      </c>
      <c r="C9" s="78">
        <f>C10</f>
        <v>385500</v>
      </c>
      <c r="D9" s="78">
        <f>D10</f>
        <v>385500</v>
      </c>
      <c r="E9" s="78">
        <f>E10</f>
        <v>318575.76</v>
      </c>
      <c r="F9" s="21">
        <f t="shared" si="0"/>
        <v>82.639626459143969</v>
      </c>
    </row>
    <row r="10" spans="1:6" x14ac:dyDescent="0.25">
      <c r="A10" s="74">
        <v>652</v>
      </c>
      <c r="B10" s="74" t="s">
        <v>253</v>
      </c>
      <c r="C10" s="76">
        <f>4500+381000</f>
        <v>385500</v>
      </c>
      <c r="D10" s="76">
        <f>4500+381000</f>
        <v>385500</v>
      </c>
      <c r="E10" s="76">
        <v>318575.76</v>
      </c>
      <c r="F10" s="21">
        <f t="shared" si="0"/>
        <v>82.639626459143969</v>
      </c>
    </row>
    <row r="11" spans="1:6" x14ac:dyDescent="0.25">
      <c r="A11" s="77">
        <v>66</v>
      </c>
      <c r="B11" s="77" t="s">
        <v>254</v>
      </c>
      <c r="C11" s="78">
        <f>C12+C13</f>
        <v>15368.79</v>
      </c>
      <c r="D11" s="78">
        <f>D12+D13</f>
        <v>15368.79</v>
      </c>
      <c r="E11" s="78">
        <f>E12+E13</f>
        <v>15368.79</v>
      </c>
      <c r="F11" s="31">
        <f t="shared" si="0"/>
        <v>100</v>
      </c>
    </row>
    <row r="12" spans="1:6" x14ac:dyDescent="0.25">
      <c r="A12" s="74">
        <v>661</v>
      </c>
      <c r="B12" s="74" t="s">
        <v>255</v>
      </c>
      <c r="C12" s="76">
        <v>0</v>
      </c>
      <c r="D12" s="76">
        <v>0</v>
      </c>
      <c r="E12" s="76">
        <v>0</v>
      </c>
      <c r="F12" s="21">
        <v>0</v>
      </c>
    </row>
    <row r="13" spans="1:6" x14ac:dyDescent="0.25">
      <c r="A13" s="74">
        <v>663</v>
      </c>
      <c r="B13" s="74" t="s">
        <v>276</v>
      </c>
      <c r="C13" s="76">
        <f>3000+3186.54+3600+400+1000+4182.25</f>
        <v>15368.79</v>
      </c>
      <c r="D13" s="76">
        <f>3000+3186.54+3600+400+1000+4182.25</f>
        <v>15368.79</v>
      </c>
      <c r="E13" s="76">
        <v>15368.79</v>
      </c>
      <c r="F13" s="31">
        <f>E13/D13*100</f>
        <v>100</v>
      </c>
    </row>
    <row r="14" spans="1:6" x14ac:dyDescent="0.25">
      <c r="A14" s="77">
        <v>67</v>
      </c>
      <c r="B14" s="77" t="s">
        <v>1</v>
      </c>
      <c r="C14" s="78">
        <f>C15</f>
        <v>1063633.74</v>
      </c>
      <c r="D14" s="78">
        <f>D15</f>
        <v>1063633.74</v>
      </c>
      <c r="E14" s="78">
        <f>E15</f>
        <v>1024016.18</v>
      </c>
      <c r="F14" s="21">
        <f>E14/D14*100</f>
        <v>96.275262949067425</v>
      </c>
    </row>
    <row r="15" spans="1:6" x14ac:dyDescent="0.25">
      <c r="A15" s="74">
        <v>671</v>
      </c>
      <c r="B15" s="74" t="s">
        <v>256</v>
      </c>
      <c r="C15" s="76">
        <f>194736+516519.1+218500+17162.39+45000+14316.25+3000+54400</f>
        <v>1063633.74</v>
      </c>
      <c r="D15" s="76">
        <f>194736+516519.1+218500+17162.39+45000+14316.25+3000+54400</f>
        <v>1063633.74</v>
      </c>
      <c r="E15" s="76">
        <v>1024016.18</v>
      </c>
      <c r="F15" s="21">
        <f>E15/D15*100</f>
        <v>96.275262949067425</v>
      </c>
    </row>
    <row r="16" spans="1:6" x14ac:dyDescent="0.25">
      <c r="A16" s="74">
        <v>68</v>
      </c>
      <c r="B16" s="74" t="s">
        <v>257</v>
      </c>
      <c r="C16" s="76">
        <v>0</v>
      </c>
      <c r="D16" s="76">
        <v>0</v>
      </c>
      <c r="E16" s="76">
        <f ca="1">E16</f>
        <v>0</v>
      </c>
      <c r="F16" s="21">
        <v>0</v>
      </c>
    </row>
    <row r="17" spans="1:6" x14ac:dyDescent="0.25">
      <c r="A17" s="74">
        <v>683</v>
      </c>
      <c r="B17" s="74" t="s">
        <v>136</v>
      </c>
      <c r="C17" s="76">
        <v>0</v>
      </c>
      <c r="D17" s="76">
        <v>0</v>
      </c>
      <c r="E17" s="76">
        <v>0</v>
      </c>
      <c r="F17" s="21"/>
    </row>
    <row r="18" spans="1:6" x14ac:dyDescent="0.25">
      <c r="A18" s="70" t="s">
        <v>245</v>
      </c>
      <c r="B18" s="70" t="s">
        <v>258</v>
      </c>
      <c r="C18" s="71" t="s">
        <v>274</v>
      </c>
      <c r="D18" s="71" t="s">
        <v>275</v>
      </c>
      <c r="E18" s="79" t="s">
        <v>7</v>
      </c>
      <c r="F18" s="81" t="s">
        <v>5</v>
      </c>
    </row>
    <row r="19" spans="1:6" x14ac:dyDescent="0.25">
      <c r="A19" s="72"/>
      <c r="B19" s="72" t="s">
        <v>234</v>
      </c>
      <c r="C19" s="73">
        <f>C20+C35</f>
        <v>7736014.5299999993</v>
      </c>
      <c r="D19" s="73">
        <f>D20+D35</f>
        <v>7736014.5299999993</v>
      </c>
      <c r="E19" s="80">
        <f>E20+E35</f>
        <v>7525167.5700000003</v>
      </c>
      <c r="F19" s="82">
        <f t="shared" ref="F19:F40" si="1">E19/D19*100</f>
        <v>97.274475646570451</v>
      </c>
    </row>
    <row r="20" spans="1:6" x14ac:dyDescent="0.25">
      <c r="A20" s="77">
        <v>3</v>
      </c>
      <c r="B20" s="77" t="s">
        <v>259</v>
      </c>
      <c r="C20" s="78">
        <f>C21+C25+C31+C33</f>
        <v>7392698.2799999993</v>
      </c>
      <c r="D20" s="78">
        <f>D21+D25+D31+D33</f>
        <v>7392698.2799999993</v>
      </c>
      <c r="E20" s="78">
        <f>E21+E25+E31+E33</f>
        <v>7246618.7300000004</v>
      </c>
      <c r="F20" s="65">
        <f t="shared" si="1"/>
        <v>98.024002272685763</v>
      </c>
    </row>
    <row r="21" spans="1:6" x14ac:dyDescent="0.25">
      <c r="A21" s="77">
        <v>31</v>
      </c>
      <c r="B21" s="77" t="s">
        <v>260</v>
      </c>
      <c r="C21" s="78">
        <f>C22+C23+C24</f>
        <v>5497670</v>
      </c>
      <c r="D21" s="78">
        <f>D22+D23+D24</f>
        <v>5497670</v>
      </c>
      <c r="E21" s="78">
        <f>E22+E23+E24</f>
        <v>5556189.5600000005</v>
      </c>
      <c r="F21" s="83">
        <f t="shared" si="1"/>
        <v>101.06444293673502</v>
      </c>
    </row>
    <row r="22" spans="1:6" x14ac:dyDescent="0.25">
      <c r="A22" s="74">
        <v>311</v>
      </c>
      <c r="B22" s="74" t="s">
        <v>261</v>
      </c>
      <c r="C22" s="76">
        <f>4085000+426870+40082</f>
        <v>4551952</v>
      </c>
      <c r="D22" s="76">
        <f>4085000+426870+40082</f>
        <v>4551952</v>
      </c>
      <c r="E22" s="76">
        <f>4075000.31+471185.1+26431.04</f>
        <v>4572616.45</v>
      </c>
      <c r="F22" s="83">
        <f t="shared" si="1"/>
        <v>100.45396897858325</v>
      </c>
    </row>
    <row r="23" spans="1:6" x14ac:dyDescent="0.25">
      <c r="A23" s="74">
        <v>312</v>
      </c>
      <c r="B23" s="74" t="s">
        <v>262</v>
      </c>
      <c r="C23" s="76">
        <f>110000+72500+7218</f>
        <v>189718</v>
      </c>
      <c r="D23" s="76">
        <f>110000+72500+7218</f>
        <v>189718</v>
      </c>
      <c r="E23" s="76">
        <f>187446.66+43153.97+2268</f>
        <v>232868.63</v>
      </c>
      <c r="F23" s="83">
        <f t="shared" si="1"/>
        <v>122.74461569276505</v>
      </c>
    </row>
    <row r="24" spans="1:6" x14ac:dyDescent="0.25">
      <c r="A24" s="74">
        <v>313</v>
      </c>
      <c r="B24" s="74" t="s">
        <v>70</v>
      </c>
      <c r="C24" s="76">
        <f>670000+80000+6000</f>
        <v>756000</v>
      </c>
      <c r="D24" s="76">
        <f>670000+80000+6000</f>
        <v>756000</v>
      </c>
      <c r="E24" s="76">
        <f>671435.74+77368.74+1900</f>
        <v>750704.48</v>
      </c>
      <c r="F24" s="83">
        <f t="shared" si="1"/>
        <v>99.299534391534394</v>
      </c>
    </row>
    <row r="25" spans="1:6" x14ac:dyDescent="0.25">
      <c r="A25" s="77">
        <v>32</v>
      </c>
      <c r="B25" s="77" t="s">
        <v>263</v>
      </c>
      <c r="C25" s="78">
        <f>C26+C27+C28+C29+C30</f>
        <v>1283818.18</v>
      </c>
      <c r="D25" s="78">
        <f>D26+D27+D28+D29+D30</f>
        <v>1283818.18</v>
      </c>
      <c r="E25" s="78">
        <f>E26+E27+E28+E29+E30</f>
        <v>1079667.77</v>
      </c>
      <c r="F25" s="65">
        <f t="shared" si="1"/>
        <v>84.09818359169833</v>
      </c>
    </row>
    <row r="26" spans="1:6" x14ac:dyDescent="0.25">
      <c r="A26" s="74">
        <v>321</v>
      </c>
      <c r="B26" s="74" t="s">
        <v>264</v>
      </c>
      <c r="C26" s="76">
        <f>34000+147000+200+1400+37500+2848+3000+3000+8000+1100</f>
        <v>238048</v>
      </c>
      <c r="D26" s="76">
        <f>34000+147000+200+1400+37500+2848+3000+3000+8000+1100</f>
        <v>238048</v>
      </c>
      <c r="E26" s="76">
        <f>34000+141855.04+200+21926+1731.12+400</f>
        <v>200112.16</v>
      </c>
      <c r="F26" s="21">
        <f t="shared" si="1"/>
        <v>84.063785455034278</v>
      </c>
    </row>
    <row r="27" spans="1:6" x14ac:dyDescent="0.25">
      <c r="A27" s="74">
        <v>322</v>
      </c>
      <c r="B27" s="74" t="s">
        <v>14</v>
      </c>
      <c r="C27" s="76">
        <f>64755+210000+433000+4000+2454+1000+12000+432</f>
        <v>727641</v>
      </c>
      <c r="D27" s="76">
        <f>64755+210000+433000+4000+2454+1000+12000+432</f>
        <v>727641</v>
      </c>
      <c r="E27" s="76">
        <f>64755+191082.17+355425.92+2156.5+1000+11991.14+432</f>
        <v>626842.73</v>
      </c>
      <c r="F27" s="21">
        <f t="shared" si="1"/>
        <v>86.147252559984935</v>
      </c>
    </row>
    <row r="28" spans="1:6" x14ac:dyDescent="0.25">
      <c r="A28" s="74">
        <v>323</v>
      </c>
      <c r="B28" s="74" t="s">
        <v>20</v>
      </c>
      <c r="C28" s="76">
        <f>83187.5+25219+17162.39+20400+8000+32186.54+4499+2500+2000+1000+2000+30000+15000</f>
        <v>243154.43000000002</v>
      </c>
      <c r="D28" s="76">
        <f>83187.5+25219+17162.39+20400+8000+32186.54+4499+2500+2000+1000+2000+30000+15000</f>
        <v>243154.43000000002</v>
      </c>
      <c r="E28" s="76">
        <f>83187.5+25218.72+17162.39+11419.59+11403.09+1965+32685+15000</f>
        <v>198041.29</v>
      </c>
      <c r="F28" s="21">
        <f t="shared" si="1"/>
        <v>81.446712692012227</v>
      </c>
    </row>
    <row r="29" spans="1:6" x14ac:dyDescent="0.25">
      <c r="A29" s="74">
        <v>324</v>
      </c>
      <c r="B29" s="74" t="s">
        <v>265</v>
      </c>
      <c r="C29" s="76">
        <f>1010+2500+4546</f>
        <v>8056</v>
      </c>
      <c r="D29" s="76">
        <f>1010+2500+4546</f>
        <v>8056</v>
      </c>
      <c r="E29" s="76">
        <f>1010+4546</f>
        <v>5556</v>
      </c>
      <c r="F29" s="21">
        <f t="shared" si="1"/>
        <v>68.96722939424032</v>
      </c>
    </row>
    <row r="30" spans="1:6" x14ac:dyDescent="0.25">
      <c r="A30" s="74">
        <v>329</v>
      </c>
      <c r="B30" s="74" t="s">
        <v>266</v>
      </c>
      <c r="C30" s="76">
        <f>7583.5+4500+20000+8500+2500+5000+3653+6182.25+9000</f>
        <v>66918.75</v>
      </c>
      <c r="D30" s="76">
        <f>7583.5+4500+20000+8500+2500+5000+3653+6182.25+9000</f>
        <v>66918.75</v>
      </c>
      <c r="E30" s="76">
        <f>7583.5+3580+16400+8465.21+4986.88+8100</f>
        <v>49115.59</v>
      </c>
      <c r="F30" s="21">
        <f t="shared" si="1"/>
        <v>73.395856916036223</v>
      </c>
    </row>
    <row r="31" spans="1:6" x14ac:dyDescent="0.25">
      <c r="A31" s="77">
        <v>34</v>
      </c>
      <c r="B31" s="77" t="s">
        <v>267</v>
      </c>
      <c r="C31" s="78">
        <f>C32</f>
        <v>5400</v>
      </c>
      <c r="D31" s="78">
        <f>D32</f>
        <v>5400</v>
      </c>
      <c r="E31" s="78">
        <f>4200+1200</f>
        <v>5400</v>
      </c>
      <c r="F31" s="31">
        <f t="shared" si="1"/>
        <v>100</v>
      </c>
    </row>
    <row r="32" spans="1:6" x14ac:dyDescent="0.25">
      <c r="A32" s="74">
        <v>343</v>
      </c>
      <c r="B32" s="74" t="s">
        <v>30</v>
      </c>
      <c r="C32" s="76">
        <f>4200+1200</f>
        <v>5400</v>
      </c>
      <c r="D32" s="76">
        <f>4200+1200</f>
        <v>5400</v>
      </c>
      <c r="E32" s="76">
        <f>4200+1200</f>
        <v>5400</v>
      </c>
      <c r="F32" s="31">
        <f t="shared" si="1"/>
        <v>100</v>
      </c>
    </row>
    <row r="33" spans="1:6" x14ac:dyDescent="0.25">
      <c r="A33" s="77">
        <v>37</v>
      </c>
      <c r="B33" s="77" t="s">
        <v>268</v>
      </c>
      <c r="C33" s="78">
        <f>C34</f>
        <v>605810.1</v>
      </c>
      <c r="D33" s="78">
        <f>D34</f>
        <v>605810.1</v>
      </c>
      <c r="E33" s="78">
        <f>E34</f>
        <v>605361.4</v>
      </c>
      <c r="F33" s="21">
        <f t="shared" si="1"/>
        <v>99.925933885882728</v>
      </c>
    </row>
    <row r="34" spans="1:6" x14ac:dyDescent="0.25">
      <c r="A34" s="74">
        <v>372</v>
      </c>
      <c r="B34" s="74" t="s">
        <v>268</v>
      </c>
      <c r="C34" s="76">
        <f>3000+111510+491300.1</f>
        <v>605810.1</v>
      </c>
      <c r="D34" s="76">
        <f>3000+111510+491300.1</f>
        <v>605810.1</v>
      </c>
      <c r="E34" s="76">
        <f>491351.4+111510+2500</f>
        <v>605361.4</v>
      </c>
      <c r="F34" s="21">
        <f t="shared" si="1"/>
        <v>99.925933885882728</v>
      </c>
    </row>
    <row r="35" spans="1:6" x14ac:dyDescent="0.25">
      <c r="A35" s="77">
        <v>4</v>
      </c>
      <c r="B35" s="77" t="s">
        <v>269</v>
      </c>
      <c r="C35" s="78">
        <f>C36+C38</f>
        <v>343316.25</v>
      </c>
      <c r="D35" s="78">
        <f>D36+D38</f>
        <v>343316.25</v>
      </c>
      <c r="E35" s="78">
        <f>E36+E38</f>
        <v>278548.83999999997</v>
      </c>
      <c r="F35" s="21">
        <f t="shared" si="1"/>
        <v>81.134767142539857</v>
      </c>
    </row>
    <row r="36" spans="1:6" x14ac:dyDescent="0.25">
      <c r="A36" s="77">
        <v>41</v>
      </c>
      <c r="B36" s="77" t="s">
        <v>270</v>
      </c>
      <c r="C36" s="78">
        <v>300000</v>
      </c>
      <c r="D36" s="78">
        <v>300000</v>
      </c>
      <c r="E36" s="78">
        <f>E37</f>
        <v>235500</v>
      </c>
      <c r="F36" s="31">
        <f t="shared" si="1"/>
        <v>78.5</v>
      </c>
    </row>
    <row r="37" spans="1:6" x14ac:dyDescent="0.25">
      <c r="A37" s="74">
        <v>412</v>
      </c>
      <c r="B37" s="74" t="s">
        <v>271</v>
      </c>
      <c r="C37" s="76">
        <v>300000</v>
      </c>
      <c r="D37" s="76">
        <v>300000</v>
      </c>
      <c r="E37" s="76">
        <f>235500</f>
        <v>235500</v>
      </c>
      <c r="F37" s="31">
        <f t="shared" si="1"/>
        <v>78.5</v>
      </c>
    </row>
    <row r="38" spans="1:6" x14ac:dyDescent="0.25">
      <c r="A38" s="77">
        <v>42</v>
      </c>
      <c r="B38" s="77" t="s">
        <v>272</v>
      </c>
      <c r="C38" s="78">
        <f>C39+C40</f>
        <v>43316.25</v>
      </c>
      <c r="D38" s="78">
        <f>D39+D40</f>
        <v>43316.25</v>
      </c>
      <c r="E38" s="78">
        <f>E39+E40</f>
        <v>43048.84</v>
      </c>
      <c r="F38" s="21">
        <f t="shared" si="1"/>
        <v>99.382656624246096</v>
      </c>
    </row>
    <row r="39" spans="1:6" x14ac:dyDescent="0.25">
      <c r="A39" s="74">
        <v>422</v>
      </c>
      <c r="B39" s="74" t="s">
        <v>104</v>
      </c>
      <c r="C39" s="76">
        <f>14316.25</f>
        <v>14316.25</v>
      </c>
      <c r="D39" s="76">
        <f>14316.25</f>
        <v>14316.25</v>
      </c>
      <c r="E39" s="76">
        <f>14316.25</f>
        <v>14316.25</v>
      </c>
      <c r="F39" s="31">
        <f t="shared" si="1"/>
        <v>100</v>
      </c>
    </row>
    <row r="40" spans="1:6" x14ac:dyDescent="0.25">
      <c r="A40" s="74">
        <v>424</v>
      </c>
      <c r="B40" s="74" t="s">
        <v>273</v>
      </c>
      <c r="C40" s="76">
        <f>2000+1000+26000</f>
        <v>29000</v>
      </c>
      <c r="D40" s="76">
        <f>2000+1000+26000</f>
        <v>29000</v>
      </c>
      <c r="E40" s="76">
        <f>1989.93+751.5+25991.16</f>
        <v>28732.59</v>
      </c>
      <c r="F40" s="21">
        <f t="shared" si="1"/>
        <v>99.077896551724137</v>
      </c>
    </row>
  </sheetData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tabSelected="1" workbookViewId="0">
      <selection activeCell="B18" sqref="B18"/>
    </sheetView>
  </sheetViews>
  <sheetFormatPr defaultRowHeight="15" x14ac:dyDescent="0.25"/>
  <cols>
    <col min="1" max="1" width="6.7109375" customWidth="1"/>
    <col min="2" max="2" width="25.42578125" customWidth="1"/>
    <col min="3" max="3" width="12.28515625" bestFit="1" customWidth="1"/>
    <col min="4" max="4" width="10.42578125" customWidth="1"/>
    <col min="5" max="5" width="12.140625" customWidth="1"/>
    <col min="6" max="6" width="10.42578125" bestFit="1" customWidth="1"/>
  </cols>
  <sheetData>
    <row r="2" spans="1:7" x14ac:dyDescent="0.25">
      <c r="D2" s="10" t="s">
        <v>137</v>
      </c>
      <c r="E2" s="1"/>
      <c r="F2" s="1"/>
    </row>
    <row r="3" spans="1:7" x14ac:dyDescent="0.25">
      <c r="D3" s="10" t="s">
        <v>144</v>
      </c>
      <c r="E3" s="1"/>
      <c r="F3" s="1"/>
    </row>
    <row r="4" spans="1:7" x14ac:dyDescent="0.25">
      <c r="D4" s="10" t="s">
        <v>139</v>
      </c>
    </row>
    <row r="5" spans="1:7" x14ac:dyDescent="0.25">
      <c r="A5" s="1"/>
      <c r="B5" t="s">
        <v>142</v>
      </c>
      <c r="D5" s="11" t="s">
        <v>143</v>
      </c>
      <c r="G5" s="1"/>
    </row>
    <row r="6" spans="1:7" x14ac:dyDescent="0.25">
      <c r="A6" s="8"/>
      <c r="B6" s="8"/>
      <c r="C6" s="8"/>
      <c r="D6" s="8"/>
      <c r="E6" s="8"/>
      <c r="F6" s="8"/>
      <c r="G6" s="8"/>
    </row>
    <row r="7" spans="1:7" x14ac:dyDescent="0.25">
      <c r="A7" s="8"/>
      <c r="B7" s="8"/>
      <c r="C7" s="28"/>
      <c r="D7" s="28"/>
      <c r="E7" s="28"/>
      <c r="F7" s="29"/>
      <c r="G7" s="8"/>
    </row>
    <row r="8" spans="1:7" x14ac:dyDescent="0.25">
      <c r="A8" s="30"/>
      <c r="B8" s="22"/>
    </row>
    <row r="9" spans="1:7" x14ac:dyDescent="0.25">
      <c r="A9" t="s">
        <v>244</v>
      </c>
    </row>
    <row r="10" spans="1:7" x14ac:dyDescent="0.25">
      <c r="A10" s="34"/>
      <c r="B10" s="34"/>
      <c r="C10" s="35" t="s">
        <v>153</v>
      </c>
      <c r="D10" s="35" t="s">
        <v>124</v>
      </c>
      <c r="E10" s="35" t="s">
        <v>234</v>
      </c>
      <c r="F10" s="35" t="s">
        <v>151</v>
      </c>
      <c r="G10" s="34" t="s">
        <v>152</v>
      </c>
    </row>
    <row r="11" spans="1:7" x14ac:dyDescent="0.25">
      <c r="A11" s="34" t="s">
        <v>145</v>
      </c>
      <c r="B11" s="34" t="s">
        <v>0</v>
      </c>
      <c r="C11" s="36">
        <v>2020</v>
      </c>
      <c r="D11" s="37">
        <v>2021</v>
      </c>
      <c r="E11" s="37">
        <v>2021</v>
      </c>
      <c r="F11" s="37">
        <v>2021</v>
      </c>
      <c r="G11" s="34">
        <v>2021</v>
      </c>
    </row>
    <row r="12" spans="1:7" x14ac:dyDescent="0.25">
      <c r="A12" s="57">
        <v>1</v>
      </c>
      <c r="B12" s="43" t="s">
        <v>146</v>
      </c>
      <c r="C12" s="43">
        <v>0</v>
      </c>
      <c r="D12" s="59">
        <v>1063633.74</v>
      </c>
      <c r="E12" s="59">
        <v>1063633.74</v>
      </c>
      <c r="F12" s="59">
        <v>0</v>
      </c>
      <c r="G12" s="59">
        <v>0</v>
      </c>
    </row>
    <row r="13" spans="1:7" x14ac:dyDescent="0.25">
      <c r="A13" s="57">
        <v>2</v>
      </c>
      <c r="B13" s="43" t="s">
        <v>240</v>
      </c>
      <c r="C13" s="43">
        <v>0</v>
      </c>
      <c r="D13" s="59">
        <f>7569112.2-1063633.74-17768.79-308428.72</f>
        <v>6179280.9500000002</v>
      </c>
      <c r="E13" s="59">
        <f>7576481.34-1063633.74-324421.51-5154460-20955.33</f>
        <v>1013010.7599999999</v>
      </c>
      <c r="F13" s="59">
        <v>0</v>
      </c>
      <c r="G13" s="59">
        <v>0</v>
      </c>
    </row>
    <row r="14" spans="1:7" x14ac:dyDescent="0.25">
      <c r="A14" s="57">
        <v>3</v>
      </c>
      <c r="B14" s="44" t="s">
        <v>147</v>
      </c>
      <c r="C14" s="43">
        <v>15992.79</v>
      </c>
      <c r="D14" s="59">
        <v>308428.71999999997</v>
      </c>
      <c r="E14" s="59">
        <v>324421.51</v>
      </c>
      <c r="F14" s="59">
        <v>0</v>
      </c>
      <c r="G14" s="59">
        <v>2803.98</v>
      </c>
    </row>
    <row r="15" spans="1:7" x14ac:dyDescent="0.25">
      <c r="A15" s="58">
        <v>4</v>
      </c>
      <c r="B15" s="43" t="s">
        <v>236</v>
      </c>
      <c r="C15" s="43">
        <v>0</v>
      </c>
      <c r="D15" s="59"/>
      <c r="E15" s="59"/>
      <c r="F15" s="59">
        <v>3120</v>
      </c>
      <c r="G15" s="59">
        <v>0</v>
      </c>
    </row>
    <row r="16" spans="1:7" x14ac:dyDescent="0.25">
      <c r="A16" s="58">
        <v>5</v>
      </c>
      <c r="B16" s="43" t="s">
        <v>237</v>
      </c>
      <c r="C16" s="43">
        <v>0</v>
      </c>
      <c r="D16" s="59"/>
      <c r="E16" s="59"/>
      <c r="F16" s="59">
        <v>1310</v>
      </c>
      <c r="G16" s="59">
        <v>0</v>
      </c>
    </row>
    <row r="17" spans="1:7" x14ac:dyDescent="0.25">
      <c r="A17" s="58">
        <v>6</v>
      </c>
      <c r="B17" s="43" t="s">
        <v>148</v>
      </c>
      <c r="C17" s="43"/>
      <c r="D17" s="59"/>
      <c r="E17" s="59"/>
      <c r="F17" s="59">
        <v>1171.0899999999999</v>
      </c>
      <c r="G17" s="59"/>
    </row>
    <row r="18" spans="1:7" x14ac:dyDescent="0.25">
      <c r="A18" s="58">
        <v>7</v>
      </c>
      <c r="B18" s="43" t="s">
        <v>132</v>
      </c>
      <c r="C18" s="43">
        <v>0</v>
      </c>
      <c r="D18" s="59">
        <v>5146510</v>
      </c>
      <c r="E18" s="59">
        <f>5146510+6000+1950</f>
        <v>5154460</v>
      </c>
      <c r="F18" s="59">
        <v>0</v>
      </c>
      <c r="G18" s="59" t="s">
        <v>226</v>
      </c>
    </row>
    <row r="19" spans="1:7" x14ac:dyDescent="0.25">
      <c r="A19" s="58"/>
      <c r="B19" s="43"/>
      <c r="C19" s="43"/>
      <c r="D19" s="59"/>
      <c r="E19" s="59"/>
      <c r="F19" s="59"/>
      <c r="G19" s="59" t="s">
        <v>227</v>
      </c>
    </row>
    <row r="20" spans="1:7" x14ac:dyDescent="0.25">
      <c r="A20" s="58">
        <v>8</v>
      </c>
      <c r="B20" s="43" t="s">
        <v>238</v>
      </c>
      <c r="C20" s="43"/>
      <c r="D20" s="59"/>
      <c r="E20" s="59"/>
      <c r="F20" s="59">
        <v>0</v>
      </c>
      <c r="G20" s="59">
        <v>2216.25</v>
      </c>
    </row>
    <row r="21" spans="1:7" x14ac:dyDescent="0.25">
      <c r="A21" s="58">
        <v>9</v>
      </c>
      <c r="B21" s="43" t="s">
        <v>150</v>
      </c>
      <c r="C21" s="43">
        <v>3186.54</v>
      </c>
      <c r="D21" s="59">
        <v>17768.79</v>
      </c>
      <c r="E21" s="59">
        <f>D21+C21</f>
        <v>20955.330000000002</v>
      </c>
      <c r="F21" s="59">
        <v>0</v>
      </c>
      <c r="G21" s="59">
        <v>0</v>
      </c>
    </row>
    <row r="22" spans="1:7" x14ac:dyDescent="0.25">
      <c r="A22" s="58">
        <v>10</v>
      </c>
      <c r="B22" s="43" t="s">
        <v>149</v>
      </c>
      <c r="C22" s="43">
        <f>SUM(C12:C21)</f>
        <v>19179.330000000002</v>
      </c>
      <c r="D22" s="59">
        <f>7569112.2</f>
        <v>7569112.2000000002</v>
      </c>
      <c r="E22" s="59">
        <f>SUM(E12:E21)</f>
        <v>7576481.3399999999</v>
      </c>
      <c r="F22" s="59">
        <f>SUM(F12:F21)</f>
        <v>5601.09</v>
      </c>
      <c r="G22" s="59">
        <f>6000+1950+2216.25+2803.98</f>
        <v>12970.23</v>
      </c>
    </row>
    <row r="23" spans="1:7" x14ac:dyDescent="0.25">
      <c r="G23" s="6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RASHODI 2021</vt:lpstr>
      <vt:lpstr>PRIHODI 2021</vt:lpstr>
      <vt:lpstr>OPĆI DIO 2021</vt:lpstr>
      <vt:lpstr>PRIHODI I RASHODI PREMA EK.2021</vt:lpstr>
      <vt:lpstr>IZVJEŠTAJ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Racunalo</dc:creator>
  <cp:lastModifiedBy>Racunalo</cp:lastModifiedBy>
  <cp:lastPrinted>2022-03-31T13:46:45Z</cp:lastPrinted>
  <dcterms:created xsi:type="dcterms:W3CDTF">2020-02-24T14:06:08Z</dcterms:created>
  <dcterms:modified xsi:type="dcterms:W3CDTF">2022-04-01T07:01:15Z</dcterms:modified>
</cp:coreProperties>
</file>